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/>
  <bookViews>
    <workbookView xWindow="65428" yWindow="65428" windowWidth="23256" windowHeight="12456" tabRatio="940" firstSheet="1" activeTab="1"/>
  </bookViews>
  <sheets>
    <sheet name="0000" sheetId="2" state="veryHidden" r:id="rId1"/>
    <sheet name="TP Info" sheetId="8" r:id="rId2"/>
    <sheet name="IT 12 4" sheetId="5" r:id="rId3"/>
    <sheet name="IS" sheetId="7" r:id="rId4"/>
    <sheet name="Rental IS" sheetId="13" r:id="rId5"/>
    <sheet name="Dividends" sheetId="15" r:id="rId6"/>
    <sheet name="Capital Gains" sheetId="6" r:id="rId7"/>
    <sheet name="Taxcalc" sheetId="1" r:id="rId8"/>
    <sheet name="Retrenchment" sheetId="17" r:id="rId9"/>
    <sheet name="Pension etc" sheetId="4" r:id="rId10"/>
    <sheet name="Med Aid" sheetId="18" r:id="rId11"/>
    <sheet name="bond" sheetId="14" r:id="rId12"/>
    <sheet name="Refernce" sheetId="12" r:id="rId13"/>
    <sheet name="Sheet1" sheetId="16" r:id="rId14"/>
  </sheets>
  <externalReferences>
    <externalReference r:id="rId17"/>
  </externalReferences>
  <definedNames>
    <definedName name="_xlnm.Print_Area" localSheetId="2">'IT 12 4'!$A$1:$K$61</definedName>
    <definedName name="_xlnm.Print_Area" localSheetId="7">'Taxcalc'!$A$1:$I$82</definedName>
  </definedNames>
  <calcPr calcId="191029"/>
  <extLst/>
</workbook>
</file>

<file path=xl/sharedStrings.xml><?xml version="1.0" encoding="utf-8"?>
<sst xmlns="http://schemas.openxmlformats.org/spreadsheetml/2006/main" count="382" uniqueCount="298">
  <si>
    <t>COMPUTATION OF INCOME TAX LIABILITY</t>
  </si>
  <si>
    <t>INCOME</t>
  </si>
  <si>
    <t>Business, trade, profession or farming</t>
  </si>
  <si>
    <t>GROSS INCOME</t>
  </si>
  <si>
    <t>Less:</t>
  </si>
  <si>
    <t>Tax-free portion of pension lump-sum</t>
  </si>
  <si>
    <t>Less: Deductions</t>
  </si>
  <si>
    <t>TAXABLE INCOME</t>
  </si>
  <si>
    <t>TAX LIABILITY</t>
  </si>
  <si>
    <t>Normal tax on</t>
  </si>
  <si>
    <t>Less: Rebates</t>
  </si>
  <si>
    <t>- Primary</t>
  </si>
  <si>
    <t>- Over 65</t>
  </si>
  <si>
    <t>LESS:</t>
  </si>
  <si>
    <t>SITE / PAYE</t>
  </si>
  <si>
    <t>PROVISIONAL PAYMENTS</t>
  </si>
  <si>
    <t>AMOUNT PAYABLE / (REFUND DUE) UPON ASSESSMENT</t>
  </si>
  <si>
    <t>TRAVELLING EXPENSES</t>
  </si>
  <si>
    <t>Vehicle 1</t>
  </si>
  <si>
    <t>Vehicle 2</t>
  </si>
  <si>
    <t>BUSINESS KILOMETRES TRAVELLED</t>
  </si>
  <si>
    <t>Code</t>
  </si>
  <si>
    <t>Travel Allowance</t>
  </si>
  <si>
    <t>Rental Profit / (Loss)</t>
  </si>
  <si>
    <t>Retirement annuity fund contributions</t>
  </si>
  <si>
    <t>Arrear Retirement annuity fund contributions</t>
  </si>
  <si>
    <t>Other deductions</t>
  </si>
  <si>
    <t>Value</t>
  </si>
  <si>
    <t xml:space="preserve">Fixed </t>
  </si>
  <si>
    <t>Fuel</t>
  </si>
  <si>
    <t>Maintencen</t>
  </si>
  <si>
    <t>Annual Payment</t>
  </si>
  <si>
    <t>TRADING FOR OWN ACCOUNT</t>
  </si>
  <si>
    <t>Cost of Sales (Exl)</t>
  </si>
  <si>
    <t>Purchases</t>
  </si>
  <si>
    <t>Gross Profit</t>
  </si>
  <si>
    <t>Expenses</t>
  </si>
  <si>
    <t>Accounting Fees</t>
  </si>
  <si>
    <t>Entertainment</t>
  </si>
  <si>
    <t>Water and Lights</t>
  </si>
  <si>
    <t>Insurance</t>
  </si>
  <si>
    <t xml:space="preserve">Net Profit / (Loss) </t>
  </si>
  <si>
    <t>COMPUTATION OF CAPITAL GAIN</t>
  </si>
  <si>
    <t>Proceeds from sale of capital item</t>
  </si>
  <si>
    <t>Less Base costs</t>
  </si>
  <si>
    <t>Less Annual Exclusion</t>
  </si>
  <si>
    <t>Aggregate capital gain</t>
  </si>
  <si>
    <t>Less Capital losses from previous year</t>
  </si>
  <si>
    <t>Net Capital Gain</t>
  </si>
  <si>
    <t>Net amount imncluded into income</t>
  </si>
  <si>
    <t>Capital Gains</t>
  </si>
  <si>
    <t>Client name</t>
  </si>
  <si>
    <t>Tax Number</t>
  </si>
  <si>
    <t>Age at Feb</t>
  </si>
  <si>
    <t>Tax Table</t>
  </si>
  <si>
    <t xml:space="preserve">Year </t>
  </si>
  <si>
    <t>Motor Vehicle Table</t>
  </si>
  <si>
    <t>Investment income - Local</t>
  </si>
  <si>
    <t>Traveling expenses</t>
  </si>
  <si>
    <t>Exempt investment income - Local</t>
  </si>
  <si>
    <t>Exempt investment income - Foreign</t>
  </si>
  <si>
    <t>Interest limit under 65 Local</t>
  </si>
  <si>
    <t>Interest limit over  65 Local</t>
  </si>
  <si>
    <t>Foreign Interest Limit</t>
  </si>
  <si>
    <t>Primary Rebate</t>
  </si>
  <si>
    <t>Over 65 Rebate</t>
  </si>
  <si>
    <t>Date of Birth (Day)</t>
  </si>
  <si>
    <t>Date of Birth (Month)</t>
  </si>
  <si>
    <t>Date of Birth (Year)</t>
  </si>
  <si>
    <t>Capital Gains annual exclusion</t>
  </si>
  <si>
    <t>Capital gains inclusion rate</t>
  </si>
  <si>
    <t>Inclusion Rate</t>
  </si>
  <si>
    <t>Main Source of income</t>
  </si>
  <si>
    <t>Source Code</t>
  </si>
  <si>
    <t>If you claim travelling expenses please complete this page. Refer to part 6.9 of your return. PLEASE NOTE THAT YOUR CLAIM WILL NOT BE CONSIDERED IF PART 2 OF THIS PAGE HAS NOT BEEN COMPLETED. IF AN ACCURATE LOGBOOK WAS KEPT, A COPY THEROF MUST ACCOMPANY THIS RETURN.</t>
  </si>
  <si>
    <t>1: DETAILS OF MOTOR VEHICLES</t>
  </si>
  <si>
    <t>Vehicle number</t>
  </si>
  <si>
    <t>Registration number</t>
  </si>
  <si>
    <t>Make and Model</t>
  </si>
  <si>
    <t>Date Acquired</t>
  </si>
  <si>
    <t>Cost Price Cash Value</t>
  </si>
  <si>
    <t>If sold or traded in during the year</t>
  </si>
  <si>
    <t>Selling Price</t>
  </si>
  <si>
    <t>Date Sold</t>
  </si>
  <si>
    <t>Value at beginning of year of assesment Only I.r.o pt 4</t>
  </si>
  <si>
    <t>2 :DETERMINATION OF BUSINESS USE</t>
  </si>
  <si>
    <t>Kilometres</t>
  </si>
  <si>
    <t xml:space="preserve">(I) Odometer reading on </t>
  </si>
  <si>
    <t xml:space="preserve">(ii) Odometer reading on </t>
  </si>
  <si>
    <t>LESS: Private Kilomtres travelled</t>
  </si>
  <si>
    <t>SARS annual parametres.</t>
  </si>
  <si>
    <t>Demographic Information</t>
  </si>
  <si>
    <t>Subsistance Local</t>
  </si>
  <si>
    <t>Medical not covered by medical aid</t>
  </si>
  <si>
    <t>Medical costs not submitted</t>
  </si>
  <si>
    <t>Income Protection</t>
  </si>
  <si>
    <t>Medical Expenses I.r.o Disability</t>
  </si>
  <si>
    <t>Medical Expenses i.r.o Handicap</t>
  </si>
  <si>
    <t>If you are in reciept of a travel allowance, you have the option to complete either part 3 or 4 to calcualte your claim. If you are not in reciept of an allowance, you may only complete part 4 to calculate your claim.</t>
  </si>
  <si>
    <t>3: WHERE NO RECORDS OF EXPENSES HAVE BEEN KEPT</t>
  </si>
  <si>
    <t>FIXED  = COST</t>
  </si>
  <si>
    <t>Fixed Cost</t>
  </si>
  <si>
    <t>Tot Km tvl</t>
  </si>
  <si>
    <t>Period used</t>
  </si>
  <si>
    <t>Motor Vehicle Details</t>
  </si>
  <si>
    <t>Opening Kms</t>
  </si>
  <si>
    <t>Closing Kms</t>
  </si>
  <si>
    <t>Private Kms</t>
  </si>
  <si>
    <t>Total Kilometers</t>
  </si>
  <si>
    <t>Total Kms</t>
  </si>
  <si>
    <t>Tot Pvt</t>
  </si>
  <si>
    <t>Tot Bus</t>
  </si>
  <si>
    <t>Days used</t>
  </si>
  <si>
    <t>Fuel Costs</t>
  </si>
  <si>
    <t>Maintenace Costs</t>
  </si>
  <si>
    <t>TOTAL COST (cents per KM)</t>
  </si>
  <si>
    <t>Business Kms travelled</t>
  </si>
  <si>
    <t>Total of actual kilometres travelled {(I) - (II)}</t>
  </si>
  <si>
    <t>x Total cost</t>
  </si>
  <si>
    <t>TOTAL DEDUCTION : VEHICLES 1 &amp; 2 (Carry This amount over to part 6.9.1 of your return)</t>
  </si>
  <si>
    <t>4 : WHERE RECORD OF EXPENSES HAVE BEEN KEPT</t>
  </si>
  <si>
    <t>Fuel and Oil</t>
  </si>
  <si>
    <t>Repairs and Maintenace</t>
  </si>
  <si>
    <t>Insurance and Licence</t>
  </si>
  <si>
    <t>Other expenses (specify on a separate schedule)</t>
  </si>
  <si>
    <t>Wear and Tear, OR</t>
  </si>
  <si>
    <t>Lease Payments</t>
  </si>
  <si>
    <t>TOTAL COST</t>
  </si>
  <si>
    <t xml:space="preserve">BUSINESS COST = </t>
  </si>
  <si>
    <t>Bus Kms</t>
  </si>
  <si>
    <t>Tot Kms</t>
  </si>
  <si>
    <t>Total Cost</t>
  </si>
  <si>
    <t>TOTAL DEDUCTION : VEHICLE 1 &amp; 2</t>
  </si>
  <si>
    <t>●</t>
  </si>
  <si>
    <t>Ordinary taxable income</t>
  </si>
  <si>
    <t xml:space="preserve">RENTAL INCOME STATEMENT </t>
  </si>
  <si>
    <t>Rental income</t>
  </si>
  <si>
    <t>EXPENSES</t>
  </si>
  <si>
    <t>Repairs and Maintenance</t>
  </si>
  <si>
    <t>RENTAL PROFIT</t>
  </si>
  <si>
    <t>Arrear Pension Fund Contributions</t>
  </si>
  <si>
    <t>Current Pension Fund Contributions</t>
  </si>
  <si>
    <t>Handicap reduction</t>
  </si>
  <si>
    <t>Medical Reduction Percentage</t>
  </si>
  <si>
    <t>Made and Model</t>
  </si>
  <si>
    <t>Cost Price</t>
  </si>
  <si>
    <t>Taxable Income</t>
  </si>
  <si>
    <t>Subsistance Foreign</t>
  </si>
  <si>
    <t>Medical Paid by Employer</t>
  </si>
  <si>
    <t xml:space="preserve">Subsistance Local </t>
  </si>
  <si>
    <t>Re-imbursive travel allowance - taxable</t>
  </si>
  <si>
    <t>Levies</t>
  </si>
  <si>
    <t>Motor Vehicle Expenses</t>
  </si>
  <si>
    <t>Computer Expenses</t>
  </si>
  <si>
    <t>Printing &amp; Stationery</t>
  </si>
  <si>
    <t>Travel-Local</t>
  </si>
  <si>
    <t>Pension Table (Retirement or 55+)</t>
  </si>
  <si>
    <t>Lumpsum</t>
  </si>
  <si>
    <t>Interest</t>
  </si>
  <si>
    <t>Admin Fees</t>
  </si>
  <si>
    <t>Rates and Taxes</t>
  </si>
  <si>
    <t>Contracting Fees</t>
  </si>
  <si>
    <t>Payment of employee's dept</t>
  </si>
  <si>
    <t>No of Dependents</t>
  </si>
  <si>
    <t>Month</t>
  </si>
  <si>
    <t>Dep #</t>
  </si>
  <si>
    <t>Deduct</t>
  </si>
  <si>
    <t>Medical Aid Contributions</t>
  </si>
  <si>
    <t>Registration Number</t>
  </si>
  <si>
    <t>Registration Nu</t>
  </si>
  <si>
    <t>Medical Aid first two dependents</t>
  </si>
  <si>
    <t>Subsequent Dependents</t>
  </si>
  <si>
    <t>Annuity from RA Fund  - Sanlam Life Insurance Ltd</t>
  </si>
  <si>
    <t>Cost</t>
  </si>
  <si>
    <t>Sale</t>
  </si>
  <si>
    <t>Tax Free Portion of LS on Retirement</t>
  </si>
  <si>
    <t>Tax Free Portion of LS on Resignation</t>
  </si>
  <si>
    <t>Other</t>
  </si>
  <si>
    <t>Retirement Lump Sum withdrawal</t>
  </si>
  <si>
    <t>Tertiary Rebate</t>
  </si>
  <si>
    <t>- Tetiary Rebate</t>
  </si>
  <si>
    <t>Sundry Calculations</t>
  </si>
  <si>
    <t xml:space="preserve">REVENUE </t>
  </si>
  <si>
    <t>Four times Limit</t>
  </si>
  <si>
    <t>Capital</t>
  </si>
  <si>
    <t>PV</t>
  </si>
  <si>
    <t>Rate</t>
  </si>
  <si>
    <t>FV</t>
  </si>
  <si>
    <t>Int</t>
  </si>
  <si>
    <t>Check digit</t>
  </si>
  <si>
    <t>period</t>
  </si>
  <si>
    <t>Payment</t>
  </si>
  <si>
    <t>Period</t>
  </si>
  <si>
    <t>BC</t>
  </si>
  <si>
    <t>Outstanding</t>
  </si>
  <si>
    <t>Medical aid Contributions</t>
  </si>
  <si>
    <t>Subtotal</t>
  </si>
  <si>
    <t>7,5% of Taxable income</t>
  </si>
  <si>
    <t>Amount eligible for Tax Credits</t>
  </si>
  <si>
    <t>Disabled</t>
  </si>
  <si>
    <t>Y</t>
  </si>
  <si>
    <t>N</t>
  </si>
  <si>
    <t>Local Dividends</t>
  </si>
  <si>
    <t>Name</t>
  </si>
  <si>
    <t>Amount</t>
  </si>
  <si>
    <t>Total of SA Dividends Exempt</t>
  </si>
  <si>
    <t>REIT DIVIDENDS</t>
  </si>
  <si>
    <t>Fully Taxable in TP hands</t>
  </si>
  <si>
    <t>REIT Dividends</t>
  </si>
  <si>
    <t>FOREIGN DIVIDENDS</t>
  </si>
  <si>
    <t>Formula</t>
  </si>
  <si>
    <t>A=(BxC)</t>
  </si>
  <si>
    <t>A = Exempted</t>
  </si>
  <si>
    <t>C = Taxable Foreign Dividends</t>
  </si>
  <si>
    <t>Exempted amount</t>
  </si>
  <si>
    <t>Taxable Foriegn Dividends</t>
  </si>
  <si>
    <t>Tax Deducted</t>
  </si>
  <si>
    <t>TAX ON FOREIGN DIVIDENDS AND INTEREST</t>
  </si>
  <si>
    <t>FOREIGN INTEREST</t>
  </si>
  <si>
    <t>Investment interest - Foreign</t>
  </si>
  <si>
    <t>Investment dividend - Foreign</t>
  </si>
  <si>
    <t>source code</t>
  </si>
  <si>
    <t>Dividends Tax Paid</t>
  </si>
  <si>
    <t>Total Tax Due</t>
  </si>
  <si>
    <t>Tax Paid on Foreign Dividends</t>
  </si>
  <si>
    <t>Tax Paid on Foreign Interest</t>
  </si>
  <si>
    <t>Right of Use of motorvehicle - Taxable</t>
  </si>
  <si>
    <t>Tollgates</t>
  </si>
  <si>
    <t>Repair and Maintenance</t>
  </si>
  <si>
    <t>Parking</t>
  </si>
  <si>
    <t>Licence</t>
  </si>
  <si>
    <t>Less Private portion 85 %</t>
  </si>
  <si>
    <t>Depreciation</t>
  </si>
  <si>
    <t>Telephone &amp; Faxes - private portion 20%</t>
  </si>
  <si>
    <t>Income</t>
  </si>
  <si>
    <t>PAYE</t>
  </si>
  <si>
    <t>IRP5</t>
  </si>
  <si>
    <t>Payslips</t>
  </si>
  <si>
    <t>Paye</t>
  </si>
  <si>
    <t>Difference</t>
  </si>
  <si>
    <t>Less Private portion 14 %</t>
  </si>
  <si>
    <t>COMPUTATION OF TAXATION ON RETRENCHMENT</t>
  </si>
  <si>
    <t>FROM EMPLOYER</t>
  </si>
  <si>
    <t>Retrenchment Lump sum</t>
  </si>
  <si>
    <t xml:space="preserve">Gratuities </t>
  </si>
  <si>
    <t>Withdrawals</t>
  </si>
  <si>
    <t>Retirement</t>
  </si>
  <si>
    <t>Previous Lump sums AFTER</t>
  </si>
  <si>
    <t>Retirement Funds</t>
  </si>
  <si>
    <t>Total Taxable Lump Sums</t>
  </si>
  <si>
    <t>Tax on Total of Lump Sums</t>
  </si>
  <si>
    <t>Gratuity Table on Rentrenchment</t>
  </si>
  <si>
    <t>Lump Sums excl Current</t>
  </si>
  <si>
    <t>Tax on Lump Sum Excluding Current</t>
  </si>
  <si>
    <t>Tax on Current Lump Sum</t>
  </si>
  <si>
    <t>TAX ON GRATUITY</t>
  </si>
  <si>
    <t>Tax on Gratuity from Employer</t>
  </si>
  <si>
    <t>Assumed</t>
  </si>
  <si>
    <t>COMPUTATION OF TAXATION ON RETIREMENT</t>
  </si>
  <si>
    <t>FROM PENSION / PROVIDENT / RA</t>
  </si>
  <si>
    <t>Retirement Lump sum</t>
  </si>
  <si>
    <t>Withdrawal Lump Sum</t>
  </si>
  <si>
    <t>COMPUTATION OF TAXATION ON WITHDRAWAL</t>
  </si>
  <si>
    <t>Tax on Lump Sum Retirement</t>
  </si>
  <si>
    <t>Tax on Lump Sum Withdrawal</t>
  </si>
  <si>
    <t>TAX ON LUMP SUM RETIREMENT</t>
  </si>
  <si>
    <t>TAX ON LUMP SUM WITHDRAWAL</t>
  </si>
  <si>
    <t>COMPUTATION OF TAXATION ON MEDICAL AID</t>
  </si>
  <si>
    <t>INFORMATION</t>
  </si>
  <si>
    <t>Over 65</t>
  </si>
  <si>
    <t>Employers Contribuitions</t>
  </si>
  <si>
    <t>OVER 65 OR DISABLED/HANDICAP</t>
  </si>
  <si>
    <t>Medical Tax Credit (6A)</t>
  </si>
  <si>
    <t>Medical Tax Credit (6B)</t>
  </si>
  <si>
    <t>Calculation fo Section 6B</t>
  </si>
  <si>
    <t>Less 3 times 6A credit</t>
  </si>
  <si>
    <t>Excess Medical Aid Costs</t>
  </si>
  <si>
    <t>Total Medical Costs</t>
  </si>
  <si>
    <t>33.3% of Medical Costs</t>
  </si>
  <si>
    <t>Total Credits</t>
  </si>
  <si>
    <t>UNDER 65 NO DISABILITY</t>
  </si>
  <si>
    <t>Employers Contribuitions not show as fringe benefit</t>
  </si>
  <si>
    <t>Primary Residence 50/50 % share</t>
  </si>
  <si>
    <t>Rates &amp; Taxes</t>
  </si>
  <si>
    <t>Internet</t>
  </si>
  <si>
    <t>Home Office Expenses</t>
  </si>
  <si>
    <t>B = 25 / 45</t>
  </si>
  <si>
    <t>123dsajifd</t>
  </si>
  <si>
    <t>- Medical Aid Credit  - 6(A)</t>
  </si>
  <si>
    <t>- Medical Aid Credit - 6(B)</t>
  </si>
  <si>
    <t>Deduction code 4493</t>
  </si>
  <si>
    <t>Net Medical Aid Contribution</t>
  </si>
  <si>
    <t>Solar Panels</t>
  </si>
  <si>
    <t>Cost  of Panels</t>
  </si>
  <si>
    <t>Cost of Inverter</t>
  </si>
  <si>
    <t>Cost of Batteries</t>
  </si>
  <si>
    <t>- Solar Panel Rebate</t>
  </si>
  <si>
    <t>Solar Panel 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</si>
</sst>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.00_);_(* \(#,##0.00\);_(* &quot;-&quot;??_);_(@_)"/>
    <numFmt numFmtId="165" formatCode="&quot;R&quot;\ #,##0;&quot;R&quot;\ \-#,##0"/>
    <numFmt numFmtId="166" formatCode="&quot;R&quot;\ #,##0.00;[Red]&quot;R&quot;\ \-#,##0.00"/>
    <numFmt numFmtId="167" formatCode="_ * #,##0.00_ ;_ * \-#,##0.00_ ;_ * &quot;-&quot;??_ ;_ @_ "/>
    <numFmt numFmtId="168" formatCode="&quot;R&quot;#,##0"/>
    <numFmt numFmtId="169" formatCode="_(* #,##0_);_(* \(#,##0\);_(* &quot;-&quot;??_);_(@_)"/>
    <numFmt numFmtId="170" formatCode="0.0%"/>
    <numFmt numFmtId="171" formatCode="_(* #,##0.000_);_(* \(#,##0.000\);_(* &quot;-&quot;??_);_(@_)"/>
    <numFmt numFmtId="172" formatCode="_(* #,##0.0000_);_(* \(#,##0.0000\);_(* &quot;-&quot;??_);_(@_)"/>
    <numFmt numFmtId="173" formatCode="#,##0.000_);\(#,##0.000\)"/>
    <numFmt numFmtId="174" formatCode="[$-409]d\-mmm\-yy;@"/>
    <numFmt numFmtId="175" formatCode="dd\ mmmm\ yyyy"/>
    <numFmt numFmtId="176" formatCode="d\-mmm\-yyyy"/>
    <numFmt numFmtId="177" formatCode="[$-409]d\-mmm\-yyyy;@"/>
    <numFmt numFmtId="178" formatCode="[$-1C09]dd\ mmmm\ yyyy;@"/>
  </numFmts>
  <fonts count="36">
    <font>
      <sz val="12"/>
      <name val="Arial MT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0"/>
      <color indexed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Arial MT"/>
      <family val="2"/>
    </font>
    <font>
      <b/>
      <sz val="12"/>
      <name val="Arial MT"/>
      <family val="2"/>
    </font>
    <font>
      <sz val="8"/>
      <name val="Arial MT"/>
      <family val="2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name val="Times New Roman"/>
      <family val="1"/>
    </font>
    <font>
      <u val="single"/>
      <sz val="12"/>
      <name val="Arial MT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u val="single"/>
      <sz val="12"/>
      <name val="Arial"/>
      <family val="2"/>
    </font>
    <font>
      <sz val="10"/>
      <color rgb="FFFF0000"/>
      <name val="Times New Roman"/>
      <family val="1"/>
    </font>
    <font>
      <sz val="10"/>
      <color rgb="FF000080"/>
      <name val="Times New Roman"/>
      <family val="1"/>
    </font>
    <font>
      <u val="single"/>
      <sz val="10"/>
      <color rgb="FF000080"/>
      <name val="Times New Roman"/>
      <family val="1"/>
    </font>
    <font>
      <sz val="12"/>
      <color theme="1"/>
      <name val="Times New Roman"/>
      <family val="1"/>
    </font>
    <font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Arial MT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1" applyNumberFormat="0" applyProtection="0">
      <alignment/>
    </xf>
    <xf numFmtId="0" fontId="5" fillId="0" borderId="2">
      <alignment horizontal="left" vertical="center"/>
      <protection/>
    </xf>
    <xf numFmtId="168" fontId="3" fillId="3" borderId="0">
      <alignment/>
      <protection/>
    </xf>
    <xf numFmtId="0" fontId="4" fillId="4" borderId="3" applyNumberFormat="0" applyBorder="0" applyAlignment="0" applyProtection="0"/>
    <xf numFmtId="169" fontId="1" fillId="0" borderId="0">
      <alignment/>
      <protection/>
    </xf>
    <xf numFmtId="0" fontId="6" fillId="0" borderId="0" applyNumberForma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ont="0" applyFill="0" applyBorder="0" applyProtection="0">
      <alignment/>
    </xf>
    <xf numFmtId="0" fontId="8" fillId="0" borderId="4">
      <alignment horizontal="center"/>
      <protection/>
    </xf>
    <xf numFmtId="0" fontId="6" fillId="0" borderId="0" applyNumberFormat="0" applyFill="0" applyBorder="0" applyAlignment="0" applyProtection="0"/>
  </cellStyleXfs>
  <cellXfs count="260">
    <xf numFmtId="0" fontId="0" fillId="0" borderId="0" xfId="0"/>
    <xf numFmtId="0" fontId="9" fillId="0" borderId="0" xfId="0" applyFont="1"/>
    <xf numFmtId="0" fontId="10" fillId="0" borderId="0" xfId="0" applyFont="1"/>
    <xf numFmtId="164" fontId="10" fillId="0" borderId="0" xfId="18" applyFont="1"/>
    <xf numFmtId="39" fontId="3" fillId="0" borderId="0" xfId="0" applyNumberFormat="1" applyFont="1"/>
    <xf numFmtId="164" fontId="3" fillId="0" borderId="0" xfId="18" applyFont="1"/>
    <xf numFmtId="164" fontId="10" fillId="0" borderId="0" xfId="18" applyFont="1" applyProtection="1">
      <protection locked="0"/>
    </xf>
    <xf numFmtId="9" fontId="10" fillId="0" borderId="0" xfId="15" applyFont="1"/>
    <xf numFmtId="0" fontId="18" fillId="0" borderId="0" xfId="0" applyFont="1" applyAlignment="1">
      <alignment horizontal="center"/>
    </xf>
    <xf numFmtId="169" fontId="10" fillId="0" borderId="0" xfId="18" applyNumberFormat="1" applyFont="1"/>
    <xf numFmtId="171" fontId="10" fillId="0" borderId="0" xfId="18" applyNumberFormat="1" applyFont="1"/>
    <xf numFmtId="169" fontId="10" fillId="0" borderId="0" xfId="0" applyNumberFormat="1" applyFont="1"/>
    <xf numFmtId="164" fontId="10" fillId="0" borderId="0" xfId="18" applyFont="1" applyAlignment="1">
      <alignment horizontal="right"/>
    </xf>
    <xf numFmtId="165" fontId="10" fillId="0" borderId="0" xfId="0" applyNumberFormat="1" applyFont="1"/>
    <xf numFmtId="164" fontId="10" fillId="0" borderId="5" xfId="18" applyFont="1" applyBorder="1"/>
    <xf numFmtId="164" fontId="10" fillId="0" borderId="6" xfId="18" applyFont="1" applyBorder="1"/>
    <xf numFmtId="169" fontId="0" fillId="0" borderId="0" xfId="18" applyNumberFormat="1" applyFont="1"/>
    <xf numFmtId="0" fontId="19" fillId="0" borderId="0" xfId="0" applyFont="1"/>
    <xf numFmtId="174" fontId="0" fillId="0" borderId="0" xfId="0" applyNumberFormat="1"/>
    <xf numFmtId="164" fontId="12" fillId="0" borderId="0" xfId="18" applyFont="1"/>
    <xf numFmtId="0" fontId="12" fillId="0" borderId="0" xfId="0" applyFont="1"/>
    <xf numFmtId="0" fontId="13" fillId="0" borderId="0" xfId="0" applyFont="1"/>
    <xf numFmtId="0" fontId="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164" fontId="14" fillId="0" borderId="0" xfId="18" applyFont="1"/>
    <xf numFmtId="164" fontId="12" fillId="0" borderId="7" xfId="18" applyFont="1" applyBorder="1" applyAlignment="1">
      <alignment horizontal="fill"/>
    </xf>
    <xf numFmtId="164" fontId="16" fillId="0" borderId="0" xfId="18" applyFont="1"/>
    <xf numFmtId="164" fontId="17" fillId="0" borderId="0" xfId="18" applyFont="1"/>
    <xf numFmtId="164" fontId="17" fillId="0" borderId="7" xfId="18" applyFont="1" applyBorder="1" applyAlignment="1">
      <alignment horizontal="fill"/>
    </xf>
    <xf numFmtId="164" fontId="17" fillId="0" borderId="0" xfId="18" applyFont="1" quotePrefix="1"/>
    <xf numFmtId="164" fontId="17" fillId="0" borderId="0" xfId="18" applyFont="1" applyAlignment="1">
      <alignment horizontal="fill"/>
    </xf>
    <xf numFmtId="164" fontId="17" fillId="0" borderId="8" xfId="18" applyFont="1" applyBorder="1"/>
    <xf numFmtId="164" fontId="17" fillId="0" borderId="6" xfId="18" applyFont="1" applyBorder="1"/>
    <xf numFmtId="0" fontId="11" fillId="0" borderId="0" xfId="0" applyFont="1"/>
    <xf numFmtId="164" fontId="12" fillId="3" borderId="0" xfId="18" applyFont="1" applyFill="1" applyProtection="1">
      <protection locked="0"/>
    </xf>
    <xf numFmtId="164" fontId="17" fillId="3" borderId="0" xfId="18" applyFont="1" applyFill="1" applyProtection="1">
      <protection locked="0"/>
    </xf>
    <xf numFmtId="0" fontId="10" fillId="0" borderId="0" xfId="0" applyFont="1" applyAlignment="1">
      <alignment horizontal="center"/>
    </xf>
    <xf numFmtId="9" fontId="0" fillId="0" borderId="0" xfId="15" applyFont="1"/>
    <xf numFmtId="164" fontId="10" fillId="3" borderId="0" xfId="18" applyFont="1" applyFill="1" applyProtection="1">
      <protection locked="0"/>
    </xf>
    <xf numFmtId="0" fontId="9" fillId="0" borderId="0" xfId="0" applyFont="1" applyProtection="1">
      <protection locked="0"/>
    </xf>
    <xf numFmtId="164" fontId="10" fillId="0" borderId="0" xfId="18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2" fillId="3" borderId="0" xfId="0" applyFont="1" applyFill="1" applyProtection="1">
      <protection locked="0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5" borderId="3" xfId="0" applyFont="1" applyFill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76" fontId="10" fillId="0" borderId="0" xfId="0" applyNumberFormat="1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5" borderId="3" xfId="0" applyFont="1" applyFill="1" applyBorder="1" applyAlignment="1">
      <alignment horizontal="right" vertical="center" wrapText="1"/>
    </xf>
    <xf numFmtId="173" fontId="10" fillId="0" borderId="3" xfId="18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27" fillId="0" borderId="0" xfId="0" applyFont="1"/>
    <xf numFmtId="164" fontId="12" fillId="0" borderId="5" xfId="18" applyFont="1" applyBorder="1" applyAlignment="1">
      <alignment horizontal="fill"/>
    </xf>
    <xf numFmtId="164" fontId="10" fillId="0" borderId="3" xfId="18" applyFont="1" applyBorder="1" applyAlignment="1">
      <alignment horizontal="left" vertical="center" wrapText="1"/>
    </xf>
    <xf numFmtId="169" fontId="10" fillId="0" borderId="3" xfId="18" applyNumberFormat="1" applyFont="1" applyBorder="1" applyAlignment="1">
      <alignment horizontal="right" vertical="center" wrapText="1"/>
    </xf>
    <xf numFmtId="169" fontId="10" fillId="0" borderId="0" xfId="18" applyNumberFormat="1" applyFont="1" applyAlignment="1">
      <alignment horizontal="right" vertical="center" wrapText="1"/>
    </xf>
    <xf numFmtId="164" fontId="10" fillId="0" borderId="9" xfId="18" applyFont="1" applyBorder="1" applyAlignment="1">
      <alignment horizontal="center" vertical="center" wrapText="1"/>
    </xf>
    <xf numFmtId="164" fontId="10" fillId="0" borderId="10" xfId="18" applyFont="1" applyBorder="1" applyAlignment="1">
      <alignment horizontal="center" vertical="center" wrapText="1"/>
    </xf>
    <xf numFmtId="164" fontId="10" fillId="0" borderId="11" xfId="18" applyFont="1" applyBorder="1" applyAlignment="1">
      <alignment horizontal="center" vertical="center" wrapText="1"/>
    </xf>
    <xf numFmtId="1" fontId="12" fillId="0" borderId="0" xfId="0" applyNumberFormat="1" applyFont="1"/>
    <xf numFmtId="172" fontId="10" fillId="0" borderId="3" xfId="18" applyNumberFormat="1" applyFont="1" applyBorder="1" applyAlignment="1">
      <alignment horizontal="right" vertical="center" wrapText="1"/>
    </xf>
    <xf numFmtId="172" fontId="10" fillId="0" borderId="3" xfId="18" applyNumberFormat="1" applyFont="1" applyBorder="1" applyAlignment="1">
      <alignment horizontal="left" vertical="center" wrapText="1"/>
    </xf>
    <xf numFmtId="0" fontId="0" fillId="6" borderId="0" xfId="0" applyFill="1" applyProtection="1">
      <protection locked="0"/>
    </xf>
    <xf numFmtId="49" fontId="0" fillId="6" borderId="0" xfId="0" applyNumberFormat="1" applyFill="1" applyProtection="1">
      <protection locked="0"/>
    </xf>
    <xf numFmtId="169" fontId="0" fillId="6" borderId="0" xfId="18" applyNumberFormat="1" applyFont="1" applyFill="1" applyProtection="1">
      <protection locked="0"/>
    </xf>
    <xf numFmtId="169" fontId="0" fillId="6" borderId="0" xfId="18" applyNumberFormat="1" applyFont="1" applyFill="1" applyProtection="1" quotePrefix="1">
      <protection locked="0"/>
    </xf>
    <xf numFmtId="169" fontId="10" fillId="0" borderId="9" xfId="18" applyNumberFormat="1" applyFont="1" applyBorder="1" applyAlignment="1">
      <alignment horizontal="right"/>
    </xf>
    <xf numFmtId="169" fontId="10" fillId="0" borderId="12" xfId="18" applyNumberFormat="1" applyFont="1" applyBorder="1" applyAlignment="1">
      <alignment horizontal="right" vertical="center" wrapText="1"/>
    </xf>
    <xf numFmtId="169" fontId="10" fillId="0" borderId="13" xfId="18" applyNumberFormat="1" applyFont="1" applyBorder="1" applyAlignment="1">
      <alignment horizontal="right" vertical="center" wrapText="1"/>
    </xf>
    <xf numFmtId="164" fontId="10" fillId="0" borderId="10" xfId="18" applyFont="1" applyBorder="1" applyAlignment="1">
      <alignment horizontal="right" vertical="center" wrapText="1"/>
    </xf>
    <xf numFmtId="164" fontId="10" fillId="0" borderId="3" xfId="18" applyFont="1" applyBorder="1" applyAlignment="1">
      <alignment horizontal="right" vertical="center" wrapText="1"/>
    </xf>
    <xf numFmtId="14" fontId="0" fillId="0" borderId="0" xfId="0" applyNumberFormat="1"/>
    <xf numFmtId="37" fontId="0" fillId="0" borderId="0" xfId="18" applyNumberFormat="1" applyFont="1"/>
    <xf numFmtId="175" fontId="0" fillId="0" borderId="0" xfId="0" applyNumberFormat="1" quotePrefix="1"/>
    <xf numFmtId="0" fontId="25" fillId="0" borderId="0" xfId="0" applyFont="1"/>
    <xf numFmtId="0" fontId="25" fillId="0" borderId="0" xfId="0" applyFont="1" applyAlignment="1">
      <alignment horizontal="center"/>
    </xf>
    <xf numFmtId="0" fontId="0" fillId="0" borderId="0" xfId="0" applyFont="1"/>
    <xf numFmtId="177" fontId="0" fillId="0" borderId="0" xfId="0" applyNumberFormat="1"/>
    <xf numFmtId="0" fontId="0" fillId="0" borderId="2" xfId="0" applyBorder="1"/>
    <xf numFmtId="0" fontId="0" fillId="0" borderId="6" xfId="0" applyBorder="1"/>
    <xf numFmtId="0" fontId="0" fillId="6" borderId="0" xfId="18" applyNumberFormat="1" applyFont="1" applyFill="1" applyProtection="1" quotePrefix="1">
      <protection locked="0"/>
    </xf>
    <xf numFmtId="0" fontId="0" fillId="6" borderId="3" xfId="0" applyFill="1" applyBorder="1" applyProtection="1">
      <protection locked="0"/>
    </xf>
    <xf numFmtId="37" fontId="0" fillId="6" borderId="3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0" fillId="0" borderId="0" xfId="0" applyFont="1"/>
    <xf numFmtId="49" fontId="20" fillId="0" borderId="0" xfId="0" applyNumberFormat="1" applyFont="1"/>
    <xf numFmtId="0" fontId="20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170" fontId="0" fillId="0" borderId="0" xfId="15" applyNumberFormat="1" applyFont="1"/>
    <xf numFmtId="0" fontId="9" fillId="0" borderId="0" xfId="0" applyFont="1" applyAlignment="1" applyProtection="1">
      <alignment horizontal="left"/>
      <protection locked="0"/>
    </xf>
    <xf numFmtId="167" fontId="10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49" fontId="13" fillId="0" borderId="0" xfId="0" applyNumberFormat="1" applyFont="1"/>
    <xf numFmtId="2" fontId="0" fillId="0" borderId="0" xfId="0" applyNumberFormat="1"/>
    <xf numFmtId="37" fontId="0" fillId="0" borderId="2" xfId="0" applyNumberFormat="1" applyBorder="1"/>
    <xf numFmtId="14" fontId="10" fillId="0" borderId="0" xfId="0" applyNumberFormat="1" applyFont="1" applyProtection="1">
      <protection locked="0"/>
    </xf>
    <xf numFmtId="37" fontId="0" fillId="0" borderId="0" xfId="0" applyNumberFormat="1"/>
    <xf numFmtId="164" fontId="0" fillId="0" borderId="0" xfId="18" applyFont="1"/>
    <xf numFmtId="1" fontId="12" fillId="3" borderId="0" xfId="0" applyNumberFormat="1" applyFont="1" applyFill="1" applyProtection="1">
      <protection locked="0"/>
    </xf>
    <xf numFmtId="0" fontId="3" fillId="3" borderId="0" xfId="0" applyFont="1" applyFill="1" applyProtection="1">
      <protection locked="0"/>
    </xf>
    <xf numFmtId="164" fontId="3" fillId="3" borderId="0" xfId="18" applyFont="1" applyFill="1" applyProtection="1">
      <protection locked="0"/>
    </xf>
    <xf numFmtId="0" fontId="12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18" applyFont="1" applyProtection="1">
      <protection locked="0"/>
    </xf>
    <xf numFmtId="164" fontId="17" fillId="0" borderId="0" xfId="18" applyFont="1" applyProtection="1">
      <protection locked="0"/>
    </xf>
    <xf numFmtId="169" fontId="10" fillId="0" borderId="10" xfId="18" applyNumberFormat="1" applyFont="1" applyBorder="1" applyAlignment="1">
      <alignment horizontal="right" vertical="center" wrapText="1"/>
    </xf>
    <xf numFmtId="0" fontId="3" fillId="3" borderId="3" xfId="0" applyFont="1" applyFill="1" applyBorder="1"/>
    <xf numFmtId="164" fontId="3" fillId="3" borderId="3" xfId="18" applyFont="1" applyFill="1" applyBorder="1"/>
    <xf numFmtId="164" fontId="3" fillId="3" borderId="3" xfId="0" applyNumberFormat="1" applyFont="1" applyFill="1" applyBorder="1"/>
    <xf numFmtId="164" fontId="12" fillId="3" borderId="3" xfId="18" applyFont="1" applyFill="1" applyBorder="1"/>
    <xf numFmtId="164" fontId="17" fillId="3" borderId="3" xfId="18" applyFont="1" applyFill="1" applyBorder="1"/>
    <xf numFmtId="164" fontId="3" fillId="3" borderId="0" xfId="18" applyFont="1" applyFill="1" applyProtection="1">
      <protection locked="0"/>
    </xf>
    <xf numFmtId="169" fontId="0" fillId="0" borderId="0" xfId="0" applyNumberFormat="1"/>
    <xf numFmtId="0" fontId="26" fillId="0" borderId="0" xfId="0" applyFont="1"/>
    <xf numFmtId="164" fontId="26" fillId="0" borderId="0" xfId="18" applyFont="1"/>
    <xf numFmtId="166" fontId="0" fillId="0" borderId="0" xfId="0" applyNumberFormat="1"/>
    <xf numFmtId="9" fontId="0" fillId="0" borderId="0" xfId="0" applyNumberFormat="1"/>
    <xf numFmtId="164" fontId="0" fillId="0" borderId="0" xfId="0" applyNumberFormat="1"/>
    <xf numFmtId="0" fontId="28" fillId="0" borderId="0" xfId="0" applyFont="1" applyAlignment="1">
      <alignment horizontal="center"/>
    </xf>
    <xf numFmtId="164" fontId="28" fillId="0" borderId="0" xfId="18" applyFont="1" applyAlignment="1">
      <alignment horizontal="center"/>
    </xf>
    <xf numFmtId="17" fontId="26" fillId="0" borderId="0" xfId="18" applyNumberFormat="1" applyFont="1"/>
    <xf numFmtId="167" fontId="0" fillId="0" borderId="0" xfId="0" applyNumberFormat="1"/>
    <xf numFmtId="0" fontId="0" fillId="0" borderId="0" xfId="0" applyAlignment="1">
      <alignment horizontal="center"/>
    </xf>
    <xf numFmtId="169" fontId="0" fillId="0" borderId="6" xfId="18" applyNumberFormat="1" applyFont="1" applyBorder="1"/>
    <xf numFmtId="169" fontId="0" fillId="0" borderId="5" xfId="18" applyNumberFormat="1" applyFont="1" applyBorder="1"/>
    <xf numFmtId="169" fontId="0" fillId="0" borderId="0" xfId="18" applyNumberFormat="1" applyFont="1" applyAlignment="1">
      <alignment horizontal="center"/>
    </xf>
    <xf numFmtId="164" fontId="3" fillId="0" borderId="0" xfId="18" applyFont="1" applyProtection="1">
      <protection locked="0"/>
    </xf>
    <xf numFmtId="164" fontId="17" fillId="3" borderId="0" xfId="18" applyFont="1" applyFill="1"/>
    <xf numFmtId="39" fontId="3" fillId="0" borderId="0" xfId="0" applyNumberFormat="1" applyFont="1"/>
    <xf numFmtId="164" fontId="9" fillId="0" borderId="0" xfId="18" applyFont="1"/>
    <xf numFmtId="164" fontId="9" fillId="0" borderId="0" xfId="18" applyFont="1" applyAlignment="1">
      <alignment horizontal="left"/>
    </xf>
    <xf numFmtId="164" fontId="27" fillId="0" borderId="0" xfId="18" applyFont="1"/>
    <xf numFmtId="164" fontId="9" fillId="0" borderId="0" xfId="18" applyFont="1" applyProtection="1">
      <protection locked="0"/>
    </xf>
    <xf numFmtId="164" fontId="10" fillId="0" borderId="3" xfId="18" applyFont="1" applyBorder="1" applyAlignment="1" applyProtection="1">
      <alignment horizontal="right"/>
      <protection locked="0"/>
    </xf>
    <xf numFmtId="164" fontId="10" fillId="0" borderId="5" xfId="18" applyFont="1" applyBorder="1" applyAlignment="1" applyProtection="1">
      <alignment horizontal="right"/>
      <protection locked="0"/>
    </xf>
    <xf numFmtId="164" fontId="10" fillId="0" borderId="17" xfId="18" applyFont="1" applyBorder="1" applyProtection="1">
      <protection locked="0"/>
    </xf>
    <xf numFmtId="164" fontId="10" fillId="0" borderId="15" xfId="18" applyFont="1" applyBorder="1" applyAlignment="1" applyProtection="1">
      <alignment horizontal="right"/>
      <protection locked="0"/>
    </xf>
    <xf numFmtId="164" fontId="10" fillId="0" borderId="18" xfId="18" applyFont="1" applyBorder="1" applyProtection="1">
      <protection locked="0"/>
    </xf>
    <xf numFmtId="164" fontId="10" fillId="0" borderId="15" xfId="18" applyFont="1" applyBorder="1" applyProtection="1">
      <protection locked="0"/>
    </xf>
    <xf numFmtId="164" fontId="10" fillId="0" borderId="19" xfId="18" applyFont="1" applyBorder="1" applyProtection="1">
      <protection locked="0"/>
    </xf>
    <xf numFmtId="164" fontId="10" fillId="0" borderId="12" xfId="18" applyFont="1" applyBorder="1" applyProtection="1">
      <protection locked="0"/>
    </xf>
    <xf numFmtId="164" fontId="10" fillId="0" borderId="16" xfId="18" applyFont="1" applyBorder="1" applyAlignment="1" applyProtection="1">
      <alignment horizontal="right"/>
      <protection locked="0"/>
    </xf>
    <xf numFmtId="164" fontId="10" fillId="0" borderId="6" xfId="18" applyFont="1" applyBorder="1" applyAlignment="1" applyProtection="1">
      <alignment horizontal="right"/>
      <protection locked="0"/>
    </xf>
    <xf numFmtId="167" fontId="3" fillId="0" borderId="0" xfId="0" applyNumberFormat="1" applyFont="1" applyProtection="1">
      <protection locked="0"/>
    </xf>
    <xf numFmtId="0" fontId="3" fillId="0" borderId="3" xfId="0" applyFont="1" applyBorder="1"/>
    <xf numFmtId="17" fontId="3" fillId="0" borderId="3" xfId="0" applyNumberFormat="1" applyFont="1" applyBorder="1"/>
    <xf numFmtId="17" fontId="3" fillId="0" borderId="3" xfId="0" applyNumberFormat="1" applyFont="1" applyBorder="1"/>
    <xf numFmtId="0" fontId="3" fillId="0" borderId="3" xfId="0" applyFont="1" applyBorder="1"/>
    <xf numFmtId="0" fontId="11" fillId="0" borderId="3" xfId="0" applyFont="1" applyBorder="1"/>
    <xf numFmtId="167" fontId="3" fillId="0" borderId="0" xfId="18" applyNumberFormat="1" applyFont="1"/>
    <xf numFmtId="167" fontId="11" fillId="0" borderId="0" xfId="18" applyNumberFormat="1" applyFont="1"/>
    <xf numFmtId="167" fontId="11" fillId="0" borderId="3" xfId="18" applyNumberFormat="1" applyFont="1" applyBorder="1"/>
    <xf numFmtId="167" fontId="3" fillId="0" borderId="3" xfId="18" applyNumberFormat="1" applyFont="1" applyBorder="1"/>
    <xf numFmtId="0" fontId="29" fillId="0" borderId="0" xfId="0" applyFont="1" applyProtection="1">
      <protection locked="0"/>
    </xf>
    <xf numFmtId="0" fontId="29" fillId="0" borderId="0" xfId="0" applyFont="1"/>
    <xf numFmtId="164" fontId="29" fillId="3" borderId="0" xfId="18" applyFont="1" applyFill="1" applyProtection="1">
      <protection locked="0"/>
    </xf>
    <xf numFmtId="164" fontId="29" fillId="0" borderId="0" xfId="18" applyFont="1" applyProtection="1">
      <protection locked="0"/>
    </xf>
    <xf numFmtId="164" fontId="29" fillId="3" borderId="0" xfId="18" applyFont="1" applyFill="1"/>
    <xf numFmtId="164" fontId="3" fillId="3" borderId="3" xfId="18" applyFont="1" applyFill="1" applyBorder="1"/>
    <xf numFmtId="164" fontId="30" fillId="0" borderId="0" xfId="18" applyFont="1"/>
    <xf numFmtId="0" fontId="31" fillId="0" borderId="0" xfId="0" applyFont="1" applyAlignment="1">
      <alignment horizontal="center"/>
    </xf>
    <xf numFmtId="164" fontId="30" fillId="3" borderId="0" xfId="18" applyFont="1" applyFill="1" applyProtection="1">
      <protection locked="0"/>
    </xf>
    <xf numFmtId="164" fontId="30" fillId="3" borderId="0" xfId="18" applyFont="1" applyFill="1"/>
    <xf numFmtId="164" fontId="32" fillId="0" borderId="15" xfId="18" applyFont="1" applyBorder="1" applyAlignment="1" applyProtection="1">
      <alignment horizontal="right"/>
      <protection locked="0"/>
    </xf>
    <xf numFmtId="164" fontId="32" fillId="0" borderId="15" xfId="18" applyFont="1" applyBorder="1" applyProtection="1">
      <protection locked="0"/>
    </xf>
    <xf numFmtId="164" fontId="10" fillId="0" borderId="14" xfId="18" applyFont="1" applyBorder="1" applyAlignment="1" applyProtection="1">
      <alignment horizontal="right"/>
      <protection locked="0"/>
    </xf>
    <xf numFmtId="167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178" fontId="10" fillId="0" borderId="0" xfId="0" applyNumberFormat="1" applyFont="1" applyAlignment="1" applyProtection="1">
      <alignment horizontal="left"/>
      <protection locked="0"/>
    </xf>
    <xf numFmtId="0" fontId="10" fillId="7" borderId="0" xfId="0" applyFont="1" applyFill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164" fontId="10" fillId="0" borderId="0" xfId="0" applyNumberFormat="1" applyFont="1" applyProtection="1">
      <protection locked="0"/>
    </xf>
    <xf numFmtId="169" fontId="10" fillId="0" borderId="0" xfId="18" applyNumberFormat="1" applyFont="1" applyProtection="1">
      <protection locked="0"/>
    </xf>
    <xf numFmtId="169" fontId="10" fillId="7" borderId="0" xfId="18" applyNumberFormat="1" applyFont="1" applyFill="1" applyProtection="1">
      <protection locked="0"/>
    </xf>
    <xf numFmtId="169" fontId="10" fillId="0" borderId="6" xfId="18" applyNumberFormat="1" applyFont="1" applyBorder="1" applyProtection="1">
      <protection locked="0"/>
    </xf>
    <xf numFmtId="169" fontId="10" fillId="7" borderId="0" xfId="18" applyNumberFormat="1" applyFont="1" applyFill="1" applyAlignment="1" applyProtection="1">
      <alignment horizontal="center"/>
      <protection locked="0"/>
    </xf>
    <xf numFmtId="167" fontId="10" fillId="0" borderId="20" xfId="0" applyNumberFormat="1" applyFont="1" applyBorder="1" applyProtection="1">
      <protection locked="0"/>
    </xf>
    <xf numFmtId="0" fontId="33" fillId="0" borderId="0" xfId="0" applyFont="1"/>
    <xf numFmtId="49" fontId="10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26" fillId="0" borderId="0" xfId="0" applyFont="1" applyProtection="1">
      <protection locked="0"/>
    </xf>
    <xf numFmtId="0" fontId="5" fillId="0" borderId="0" xfId="0" applyFont="1" applyProtection="1">
      <protection locked="0"/>
    </xf>
    <xf numFmtId="1" fontId="5" fillId="0" borderId="0" xfId="0" applyNumberFormat="1" applyFont="1" applyAlignment="1">
      <alignment horizontal="left"/>
    </xf>
    <xf numFmtId="169" fontId="26" fillId="6" borderId="3" xfId="18" applyNumberFormat="1" applyFont="1" applyFill="1" applyBorder="1" applyProtection="1">
      <protection locked="0"/>
    </xf>
    <xf numFmtId="1" fontId="26" fillId="0" borderId="0" xfId="0" applyNumberFormat="1" applyFont="1" applyAlignment="1">
      <alignment horizontal="left"/>
    </xf>
    <xf numFmtId="169" fontId="26" fillId="7" borderId="3" xfId="18" applyNumberFormat="1" applyFont="1" applyFill="1" applyBorder="1"/>
    <xf numFmtId="0" fontId="26" fillId="0" borderId="3" xfId="0" applyFont="1" applyBorder="1"/>
    <xf numFmtId="169" fontId="26" fillId="7" borderId="3" xfId="18" applyNumberFormat="1" applyFont="1" applyFill="1" applyBorder="1" applyProtection="1">
      <protection locked="0"/>
    </xf>
    <xf numFmtId="0" fontId="26" fillId="6" borderId="3" xfId="0" applyFont="1" applyFill="1" applyBorder="1" applyProtection="1">
      <protection locked="0"/>
    </xf>
    <xf numFmtId="17" fontId="26" fillId="0" borderId="0" xfId="0" applyNumberFormat="1" applyFont="1"/>
    <xf numFmtId="164" fontId="26" fillId="6" borderId="3" xfId="18" applyFont="1" applyFill="1" applyBorder="1"/>
    <xf numFmtId="169" fontId="26" fillId="0" borderId="0" xfId="18" applyNumberFormat="1" applyFont="1"/>
    <xf numFmtId="169" fontId="26" fillId="0" borderId="6" xfId="18" applyNumberFormat="1" applyFont="1" applyBorder="1"/>
    <xf numFmtId="164" fontId="26" fillId="0" borderId="5" xfId="18" applyFont="1" applyBorder="1"/>
    <xf numFmtId="164" fontId="26" fillId="0" borderId="0" xfId="0" applyNumberFormat="1" applyFont="1"/>
    <xf numFmtId="164" fontId="26" fillId="0" borderId="20" xfId="18" applyFont="1" applyBorder="1"/>
    <xf numFmtId="164" fontId="26" fillId="0" borderId="0" xfId="18" applyFont="1" applyProtection="1">
      <protection locked="0"/>
    </xf>
    <xf numFmtId="164" fontId="26" fillId="0" borderId="6" xfId="18" applyFont="1" applyBorder="1"/>
    <xf numFmtId="0" fontId="28" fillId="0" borderId="0" xfId="0" applyFont="1"/>
    <xf numFmtId="164" fontId="26" fillId="7" borderId="0" xfId="18" applyFont="1" applyFill="1"/>
    <xf numFmtId="17" fontId="10" fillId="0" borderId="0" xfId="0" applyNumberFormat="1" applyFont="1"/>
    <xf numFmtId="17" fontId="10" fillId="0" borderId="0" xfId="0" applyNumberFormat="1" applyFont="1" applyProtection="1">
      <protection locked="0"/>
    </xf>
    <xf numFmtId="169" fontId="26" fillId="0" borderId="0" xfId="0" applyNumberFormat="1" applyFont="1"/>
    <xf numFmtId="164" fontId="10" fillId="0" borderId="21" xfId="18" applyFont="1" applyBorder="1"/>
    <xf numFmtId="164" fontId="0" fillId="6" borderId="3" xfId="0" applyNumberFormat="1" applyFill="1" applyBorder="1" applyProtection="1">
      <protection locked="0"/>
    </xf>
    <xf numFmtId="0" fontId="3" fillId="0" borderId="0" xfId="0" applyFont="1" applyProtection="1">
      <protection locked="0"/>
    </xf>
    <xf numFmtId="0" fontId="34" fillId="0" borderId="0" xfId="0" applyFont="1"/>
    <xf numFmtId="2" fontId="34" fillId="0" borderId="0" xfId="0" applyNumberFormat="1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/>
    <xf numFmtId="169" fontId="3" fillId="0" borderId="0" xfId="18" applyNumberFormat="1" applyFont="1"/>
    <xf numFmtId="37" fontId="3" fillId="0" borderId="0" xfId="0" applyNumberFormat="1" applyFont="1"/>
    <xf numFmtId="164" fontId="26" fillId="0" borderId="0" xfId="18" applyFont="1" applyBorder="1"/>
    <xf numFmtId="164" fontId="17" fillId="0" borderId="0" xfId="18" applyFont="1" applyAlignment="1">
      <alignment horizontal="center"/>
    </xf>
    <xf numFmtId="169" fontId="0" fillId="0" borderId="3" xfId="18" applyNumberFormat="1" applyFont="1" applyBorder="1"/>
    <xf numFmtId="175" fontId="0" fillId="0" borderId="0" xfId="0" applyNumberFormat="1" applyAlignment="1" quotePrefix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0" fontId="22" fillId="5" borderId="0" xfId="0" applyNumberFormat="1" applyFont="1" applyFill="1" applyAlignment="1">
      <alignment horizontal="left" vertical="center" wrapText="1"/>
    </xf>
    <xf numFmtId="0" fontId="23" fillId="5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22" fillId="5" borderId="0" xfId="0" applyFont="1" applyFill="1" applyAlignment="1">
      <alignment horizontal="left" vertical="center" wrapText="1"/>
    </xf>
    <xf numFmtId="0" fontId="10" fillId="5" borderId="14" xfId="0" applyFont="1" applyFill="1" applyBorder="1" applyAlignment="1">
      <alignment horizontal="left" vertical="top" wrapText="1"/>
    </xf>
    <xf numFmtId="0" fontId="10" fillId="5" borderId="16" xfId="0" applyFont="1" applyFill="1" applyBorder="1" applyAlignment="1">
      <alignment horizontal="left" vertical="top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164" fontId="10" fillId="0" borderId="9" xfId="18" applyFont="1" applyBorder="1" applyAlignment="1">
      <alignment horizontal="center" vertical="center" wrapText="1"/>
    </xf>
    <xf numFmtId="164" fontId="10" fillId="0" borderId="10" xfId="18" applyFont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rey" xfId="20"/>
    <cellStyle name="Header1" xfId="21"/>
    <cellStyle name="Header2" xfId="22"/>
    <cellStyle name="ian's1" xfId="23"/>
    <cellStyle name="Input [yellow]" xfId="24"/>
    <cellStyle name="Normal - Style1" xfId="25"/>
    <cellStyle name="oft Excel]_x000d__x000a_Comment=open=/f ‚ðw’è‚·‚é‚ÆAƒ†[ƒU[’è‹`ŠÖ”‚ðŠÖ”“\‚è•t‚¯‚Ìˆê——‚É“o˜^‚·‚é‚±‚Æ‚ª‚Å‚«‚Ü‚·B_x000d__x000a_Maximized" xfId="26"/>
    <cellStyle name="Percent [2]" xfId="27"/>
    <cellStyle name="pricing" xfId="28"/>
    <cellStyle name="PSChar" xfId="29"/>
    <cellStyle name="PSHeading" xfId="30"/>
    <cellStyle name="þ_x001d_ðK_x000c_Fý_x001b__x000d_9ýU_x0001_Ð_x0008_¦)_x0007__x0001__x0001_" xfId="31"/>
  </cellStyles>
  <dxfs count="2">
    <dxf>
      <fill>
        <patternFill>
          <bgColor indexed="10"/>
        </patternFill>
      </fill>
      <border/>
    </dxf>
    <dxf>
      <fill>
        <patternFill>
          <bgColor indexed="4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customXml" Target="../customXml/item3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39</xdr:row>
      <xdr:rowOff>0</xdr:rowOff>
    </xdr:from>
    <xdr:to>
      <xdr:col>19</xdr:col>
      <xdr:colOff>514350</xdr:colOff>
      <xdr:row>48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9900" y="7429500"/>
          <a:ext cx="5133975" cy="1457325"/>
        </a:xfrm>
        <a:prstGeom prst="rect">
          <a:avLst/>
        </a:prstGeom>
        <a:noFill/>
        <a:ln w="1">
          <a:noFill/>
        </a:ln>
      </xdr:spPr>
    </xdr:pic>
    <xdr:clientData/>
  </xdr:twoCellAnchor>
  <xdr:twoCellAnchor>
    <xdr:from>
      <xdr:col>8</xdr:col>
      <xdr:colOff>371475</xdr:colOff>
      <xdr:row>40</xdr:row>
      <xdr:rowOff>123825</xdr:rowOff>
    </xdr:from>
    <xdr:to>
      <xdr:col>12</xdr:col>
      <xdr:colOff>609600</xdr:colOff>
      <xdr:row>40</xdr:row>
      <xdr:rowOff>142875</xdr:rowOff>
    </xdr:to>
    <xdr:cxnSp macro="">
      <xdr:nvCxnSpPr>
        <xdr:cNvPr id="3" name="Straight Arrow Connector 2"/>
        <xdr:cNvCxnSpPr/>
      </xdr:nvCxnSpPr>
      <xdr:spPr bwMode="auto">
        <a:xfrm>
          <a:off x="6600825" y="7715250"/>
          <a:ext cx="3895725" cy="19050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231" name="Freeform 1"/>
        <xdr:cNvSpPr>
          <a:spLocks/>
        </xdr:cNvSpPr>
      </xdr:nvSpPr>
      <xdr:spPr bwMode="auto">
        <a:xfrm>
          <a:off x="0" y="1343025"/>
          <a:ext cx="0" cy="0"/>
        </a:xfrm>
        <a:custGeom>
          <a:avLst/>
          <a:gdLst>
            <a:gd name="T0" fmla="*/ 0 w 21"/>
            <a:gd name="T1" fmla="*/ 0 h 73"/>
            <a:gd name="T2" fmla="*/ 0 w 21"/>
            <a:gd name="T3" fmla="*/ 0 h 73"/>
            <a:gd name="T4" fmla="*/ 0 w 21"/>
            <a:gd name="T5" fmla="*/ 0 h 73"/>
            <a:gd name="T6" fmla="*/ 0 w 21"/>
            <a:gd name="T7" fmla="*/ 0 h 73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73"/>
            <a:gd name="T14" fmla="*/ 21 w 21"/>
            <a:gd name="T15" fmla="*/ 73 h 7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73" w="21">
              <a:moveTo>
                <a:pt x="21" y="0"/>
              </a:moveTo>
              <a:cubicBezTo>
                <a:pt x="13" y="2"/>
                <a:pt x="6" y="4"/>
                <a:pt x="3" y="14"/>
              </a:cubicBezTo>
              <a:cubicBezTo>
                <a:pt x="0" y="24"/>
                <a:pt x="1" y="50"/>
                <a:pt x="3" y="60"/>
              </a:cubicBezTo>
              <a:cubicBezTo>
                <a:pt x="5" y="70"/>
                <a:pt x="16" y="71"/>
                <a:pt x="18" y="73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232" name="Freeform 2"/>
        <xdr:cNvSpPr>
          <a:spLocks/>
        </xdr:cNvSpPr>
      </xdr:nvSpPr>
      <xdr:spPr bwMode="auto">
        <a:xfrm>
          <a:off x="0" y="1343025"/>
          <a:ext cx="0" cy="0"/>
        </a:xfrm>
        <a:custGeom>
          <a:avLst/>
          <a:gdLst>
            <a:gd name="T0" fmla="*/ 0 w 29"/>
            <a:gd name="T1" fmla="*/ 0 h 75"/>
            <a:gd name="T2" fmla="*/ 0 w 29"/>
            <a:gd name="T3" fmla="*/ 0 h 75"/>
            <a:gd name="T4" fmla="*/ 0 w 29"/>
            <a:gd name="T5" fmla="*/ 0 h 75"/>
            <a:gd name="T6" fmla="*/ 0 w 29"/>
            <a:gd name="T7" fmla="*/ 0 h 75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75"/>
            <a:gd name="T14" fmla="*/ 29 w 29"/>
            <a:gd name="T15" fmla="*/ 75 h 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75" w="29">
              <a:moveTo>
                <a:pt x="0" y="0"/>
              </a:moveTo>
              <a:cubicBezTo>
                <a:pt x="9" y="1"/>
                <a:pt x="19" y="3"/>
                <a:pt x="23" y="13"/>
              </a:cubicBezTo>
              <a:cubicBezTo>
                <a:pt x="27" y="23"/>
                <a:pt x="29" y="50"/>
                <a:pt x="26" y="60"/>
              </a:cubicBezTo>
              <a:cubicBezTo>
                <a:pt x="23" y="70"/>
                <a:pt x="8" y="73"/>
                <a:pt x="4" y="75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1233" name="Freeform 3"/>
        <xdr:cNvSpPr>
          <a:spLocks/>
        </xdr:cNvSpPr>
      </xdr:nvSpPr>
      <xdr:spPr bwMode="auto">
        <a:xfrm>
          <a:off x="0" y="2867025"/>
          <a:ext cx="0" cy="0"/>
        </a:xfrm>
        <a:custGeom>
          <a:avLst/>
          <a:gdLst>
            <a:gd name="T0" fmla="*/ 0 w 21"/>
            <a:gd name="T1" fmla="*/ 0 h 73"/>
            <a:gd name="T2" fmla="*/ 0 w 21"/>
            <a:gd name="T3" fmla="*/ 0 h 73"/>
            <a:gd name="T4" fmla="*/ 0 w 21"/>
            <a:gd name="T5" fmla="*/ 0 h 73"/>
            <a:gd name="T6" fmla="*/ 0 w 21"/>
            <a:gd name="T7" fmla="*/ 0 h 73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73"/>
            <a:gd name="T14" fmla="*/ 21 w 21"/>
            <a:gd name="T15" fmla="*/ 73 h 7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73" w="21">
              <a:moveTo>
                <a:pt x="21" y="0"/>
              </a:moveTo>
              <a:cubicBezTo>
                <a:pt x="13" y="2"/>
                <a:pt x="6" y="4"/>
                <a:pt x="3" y="14"/>
              </a:cubicBezTo>
              <a:cubicBezTo>
                <a:pt x="0" y="24"/>
                <a:pt x="1" y="50"/>
                <a:pt x="3" y="60"/>
              </a:cubicBezTo>
              <a:cubicBezTo>
                <a:pt x="5" y="70"/>
                <a:pt x="16" y="71"/>
                <a:pt x="18" y="73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1234" name="Freeform 4"/>
        <xdr:cNvSpPr>
          <a:spLocks/>
        </xdr:cNvSpPr>
      </xdr:nvSpPr>
      <xdr:spPr bwMode="auto">
        <a:xfrm>
          <a:off x="0" y="2867025"/>
          <a:ext cx="0" cy="0"/>
        </a:xfrm>
        <a:custGeom>
          <a:avLst/>
          <a:gdLst>
            <a:gd name="T0" fmla="*/ 0 w 29"/>
            <a:gd name="T1" fmla="*/ 0 h 75"/>
            <a:gd name="T2" fmla="*/ 0 w 29"/>
            <a:gd name="T3" fmla="*/ 0 h 75"/>
            <a:gd name="T4" fmla="*/ 0 w 29"/>
            <a:gd name="T5" fmla="*/ 0 h 75"/>
            <a:gd name="T6" fmla="*/ 0 w 29"/>
            <a:gd name="T7" fmla="*/ 0 h 75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75"/>
            <a:gd name="T14" fmla="*/ 29 w 29"/>
            <a:gd name="T15" fmla="*/ 75 h 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75" w="29">
              <a:moveTo>
                <a:pt x="0" y="0"/>
              </a:moveTo>
              <a:cubicBezTo>
                <a:pt x="9" y="1"/>
                <a:pt x="19" y="3"/>
                <a:pt x="23" y="13"/>
              </a:cubicBezTo>
              <a:cubicBezTo>
                <a:pt x="27" y="23"/>
                <a:pt x="29" y="50"/>
                <a:pt x="26" y="60"/>
              </a:cubicBezTo>
              <a:cubicBezTo>
                <a:pt x="23" y="70"/>
                <a:pt x="8" y="73"/>
                <a:pt x="4" y="75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s\CTF\Taxcalc2007%20Hanlie%20dem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TP Info"/>
      <sheetName val="IT12 1"/>
      <sheetName val="IT 12 2"/>
      <sheetName val="IT 12 3"/>
      <sheetName val="IT 12 4"/>
      <sheetName val="IS"/>
      <sheetName val="Rental IS"/>
      <sheetName val="Capital Gains"/>
      <sheetName val="Taxcalc"/>
      <sheetName val="Lump Sum"/>
      <sheetName val="Refernce"/>
    </sheetNames>
    <sheetDataSet>
      <sheetData sheetId="0"/>
      <sheetData sheetId="1"/>
      <sheetData sheetId="2" refreshError="1">
        <row r="13">
          <cell r="I13">
            <v>3601</v>
          </cell>
        </row>
        <row r="14">
          <cell r="I14">
            <v>3701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"/>
  <sheetViews>
    <sheetView showGridLines="0" showRowColHeaders="0" showZeros="0" showOutlineSymbols="0" zoomScale="114" zoomScaleNormal="114" zoomScaleSheetLayoutView="4" workbookViewId="0" topLeftCell="B26224"/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O36"/>
  <sheetViews>
    <sheetView zoomScale="75" zoomScaleNormal="75" workbookViewId="0" topLeftCell="A1">
      <pane ySplit="6" topLeftCell="A11" activePane="bottomLeft" state="frozen"/>
      <selection pane="bottomLeft" activeCell="O29" sqref="O29"/>
    </sheetView>
  </sheetViews>
  <sheetFormatPr defaultColWidth="8.88671875" defaultRowHeight="15"/>
  <cols>
    <col min="1" max="1" width="1.5625" style="42" customWidth="1"/>
    <col min="2" max="2" width="27.6640625" style="42" customWidth="1"/>
    <col min="3" max="3" width="11.5546875" style="42" customWidth="1"/>
    <col min="4" max="4" width="1.1171875" style="42" customWidth="1"/>
    <col min="5" max="5" width="11.10546875" style="42" customWidth="1"/>
    <col min="6" max="6" width="1.33203125" style="42" customWidth="1"/>
    <col min="7" max="7" width="10.21484375" style="42" bestFit="1" customWidth="1"/>
    <col min="8" max="8" width="8.88671875" style="42" customWidth="1"/>
    <col min="9" max="9" width="0.9921875" style="42" customWidth="1"/>
    <col min="10" max="10" width="28.4453125" style="42" customWidth="1"/>
    <col min="11" max="11" width="10.5546875" style="42" customWidth="1"/>
    <col min="12" max="12" width="1.33203125" style="42" customWidth="1"/>
    <col min="13" max="13" width="8.88671875" style="42" customWidth="1"/>
    <col min="14" max="14" width="1.4375" style="42" customWidth="1"/>
    <col min="15" max="16384" width="8.88671875" style="42" customWidth="1"/>
  </cols>
  <sheetData>
    <row r="2" spans="2:10" ht="15">
      <c r="B2" s="105">
        <f>+'TP Info'!C3</f>
        <v>0</v>
      </c>
      <c r="J2" s="42">
        <f>+B2</f>
        <v>0</v>
      </c>
    </row>
    <row r="3" spans="2:10" ht="15">
      <c r="B3" s="107">
        <f>+'TP Info'!C4</f>
        <v>0</v>
      </c>
      <c r="J3" s="196">
        <f>+B3</f>
        <v>0</v>
      </c>
    </row>
    <row r="4" spans="2:10" ht="15">
      <c r="B4" s="40" t="s">
        <v>258</v>
      </c>
      <c r="J4" s="40" t="s">
        <v>262</v>
      </c>
    </row>
    <row r="5" spans="2:10" ht="15">
      <c r="B5" s="40" t="s">
        <v>259</v>
      </c>
      <c r="J5" s="40" t="s">
        <v>259</v>
      </c>
    </row>
    <row r="6" spans="2:10" ht="15">
      <c r="B6" s="40" t="str">
        <f>+Taxcalc!B4</f>
        <v>FOR THE YEAR ENDED 28 February 2023</v>
      </c>
      <c r="J6" s="42" t="str">
        <f>+B6</f>
        <v>FOR THE YEAR ENDED 28 February 2023</v>
      </c>
    </row>
    <row r="8" spans="2:11" ht="15">
      <c r="B8" s="185" t="s">
        <v>260</v>
      </c>
      <c r="C8" s="193"/>
      <c r="D8" s="6"/>
      <c r="E8" s="6"/>
      <c r="J8" s="42" t="s">
        <v>261</v>
      </c>
      <c r="K8" s="187"/>
    </row>
    <row r="9" spans="5:15" ht="15">
      <c r="E9" s="257" t="s">
        <v>248</v>
      </c>
      <c r="F9" s="258"/>
      <c r="G9" s="259"/>
      <c r="M9" s="257" t="s">
        <v>248</v>
      </c>
      <c r="N9" s="258"/>
      <c r="O9" s="259"/>
    </row>
    <row r="10" spans="2:15" ht="15">
      <c r="B10" s="42" t="s">
        <v>247</v>
      </c>
      <c r="C10" s="188" t="s">
        <v>244</v>
      </c>
      <c r="E10" s="188" t="s">
        <v>245</v>
      </c>
      <c r="G10" s="188" t="s">
        <v>246</v>
      </c>
      <c r="J10" s="42" t="s">
        <v>247</v>
      </c>
      <c r="K10" s="188" t="s">
        <v>244</v>
      </c>
      <c r="M10" s="188" t="s">
        <v>245</v>
      </c>
      <c r="O10" s="188" t="s">
        <v>246</v>
      </c>
    </row>
    <row r="11" spans="2:15" ht="15">
      <c r="B11" s="186">
        <v>39356</v>
      </c>
      <c r="C11" s="190"/>
      <c r="D11" s="190"/>
      <c r="E11" s="190"/>
      <c r="F11" s="190"/>
      <c r="G11" s="191"/>
      <c r="J11" s="186">
        <v>39356</v>
      </c>
      <c r="K11" s="190"/>
      <c r="L11" s="190"/>
      <c r="M11" s="190"/>
      <c r="N11" s="190"/>
      <c r="O11" s="191"/>
    </row>
    <row r="12" spans="2:15" ht="15">
      <c r="B12" s="186">
        <v>39508</v>
      </c>
      <c r="C12" s="190"/>
      <c r="D12" s="190"/>
      <c r="E12" s="190"/>
      <c r="F12" s="190"/>
      <c r="G12" s="191"/>
      <c r="J12" s="186">
        <v>39508</v>
      </c>
      <c r="K12" s="190"/>
      <c r="L12" s="190"/>
      <c r="M12" s="190"/>
      <c r="N12" s="190"/>
      <c r="O12" s="191"/>
    </row>
    <row r="13" spans="2:15" ht="15">
      <c r="B13" s="186">
        <v>39873</v>
      </c>
      <c r="C13" s="190"/>
      <c r="D13" s="190"/>
      <c r="E13" s="191"/>
      <c r="F13" s="190"/>
      <c r="G13" s="191"/>
      <c r="J13" s="186">
        <v>39873</v>
      </c>
      <c r="K13" s="190"/>
      <c r="L13" s="190"/>
      <c r="M13" s="191"/>
      <c r="N13" s="190"/>
      <c r="O13" s="191"/>
    </row>
    <row r="14" spans="2:15" ht="15">
      <c r="B14" s="186">
        <v>40238</v>
      </c>
      <c r="C14" s="190"/>
      <c r="D14" s="190"/>
      <c r="E14" s="191"/>
      <c r="F14" s="190"/>
      <c r="G14" s="191"/>
      <c r="J14" s="186">
        <v>40238</v>
      </c>
      <c r="K14" s="190"/>
      <c r="L14" s="190"/>
      <c r="M14" s="191"/>
      <c r="N14" s="190"/>
      <c r="O14" s="191"/>
    </row>
    <row r="15" spans="2:15" ht="15">
      <c r="B15" s="186">
        <v>40603</v>
      </c>
      <c r="C15" s="191"/>
      <c r="D15" s="190"/>
      <c r="E15" s="191"/>
      <c r="F15" s="190"/>
      <c r="G15" s="191"/>
      <c r="J15" s="186">
        <v>40603</v>
      </c>
      <c r="K15" s="191"/>
      <c r="L15" s="190"/>
      <c r="M15" s="191"/>
      <c r="N15" s="190"/>
      <c r="O15" s="191"/>
    </row>
    <row r="16" spans="2:15" ht="15">
      <c r="B16" s="186">
        <v>40969</v>
      </c>
      <c r="C16" s="191"/>
      <c r="D16" s="190"/>
      <c r="E16" s="191"/>
      <c r="F16" s="190"/>
      <c r="G16" s="191"/>
      <c r="J16" s="186">
        <v>40969</v>
      </c>
      <c r="K16" s="191"/>
      <c r="L16" s="190"/>
      <c r="M16" s="191"/>
      <c r="N16" s="190"/>
      <c r="O16" s="191"/>
    </row>
    <row r="17" spans="2:15" ht="15">
      <c r="B17" s="186">
        <v>41334</v>
      </c>
      <c r="C17" s="191"/>
      <c r="D17" s="190"/>
      <c r="E17" s="191"/>
      <c r="F17" s="190"/>
      <c r="G17" s="191"/>
      <c r="J17" s="186">
        <v>41334</v>
      </c>
      <c r="K17" s="191"/>
      <c r="L17" s="190"/>
      <c r="M17" s="191"/>
      <c r="N17" s="190"/>
      <c r="O17" s="191"/>
    </row>
    <row r="18" spans="2:15" ht="15">
      <c r="B18" s="186">
        <v>41699</v>
      </c>
      <c r="C18" s="191"/>
      <c r="D18" s="190"/>
      <c r="E18" s="191"/>
      <c r="F18" s="190"/>
      <c r="G18" s="191"/>
      <c r="J18" s="186">
        <v>41699</v>
      </c>
      <c r="K18" s="191"/>
      <c r="L18" s="190"/>
      <c r="M18" s="191"/>
      <c r="N18" s="190"/>
      <c r="O18" s="191"/>
    </row>
    <row r="19" spans="2:15" ht="15">
      <c r="B19" s="186">
        <v>42064</v>
      </c>
      <c r="C19" s="191"/>
      <c r="D19" s="190"/>
      <c r="E19" s="191"/>
      <c r="F19" s="190"/>
      <c r="G19" s="191"/>
      <c r="J19" s="186">
        <v>42064</v>
      </c>
      <c r="K19" s="191"/>
      <c r="L19" s="190"/>
      <c r="M19" s="191"/>
      <c r="N19" s="190"/>
      <c r="O19" s="191"/>
    </row>
    <row r="20" spans="2:15" ht="15">
      <c r="B20" s="186">
        <v>42430</v>
      </c>
      <c r="C20" s="191"/>
      <c r="D20" s="190"/>
      <c r="E20" s="191"/>
      <c r="F20" s="190"/>
      <c r="G20" s="191"/>
      <c r="J20" s="186">
        <v>42430</v>
      </c>
      <c r="K20" s="191"/>
      <c r="L20" s="190"/>
      <c r="M20" s="191"/>
      <c r="N20" s="190"/>
      <c r="O20" s="191"/>
    </row>
    <row r="21" spans="2:15" ht="15">
      <c r="B21" s="186">
        <v>42795</v>
      </c>
      <c r="C21" s="191"/>
      <c r="D21" s="190"/>
      <c r="E21" s="191"/>
      <c r="F21" s="190"/>
      <c r="G21" s="191"/>
      <c r="J21" s="186">
        <v>42795</v>
      </c>
      <c r="K21" s="191"/>
      <c r="L21" s="190"/>
      <c r="M21" s="191"/>
      <c r="N21" s="190"/>
      <c r="O21" s="191"/>
    </row>
    <row r="22" spans="2:15" ht="15">
      <c r="B22" s="186">
        <v>43160</v>
      </c>
      <c r="C22" s="191"/>
      <c r="D22" s="190"/>
      <c r="E22" s="191"/>
      <c r="F22" s="190"/>
      <c r="G22" s="191"/>
      <c r="J22" s="186">
        <v>43160</v>
      </c>
      <c r="K22" s="191"/>
      <c r="L22" s="190"/>
      <c r="M22" s="191"/>
      <c r="N22" s="190"/>
      <c r="O22" s="191"/>
    </row>
    <row r="23" spans="2:15" ht="15">
      <c r="B23" s="186">
        <v>43525</v>
      </c>
      <c r="C23" s="191"/>
      <c r="D23" s="190"/>
      <c r="E23" s="191"/>
      <c r="F23" s="190"/>
      <c r="G23" s="191"/>
      <c r="J23" s="186">
        <v>43525</v>
      </c>
      <c r="K23" s="191"/>
      <c r="L23" s="190"/>
      <c r="M23" s="191"/>
      <c r="N23" s="190"/>
      <c r="O23" s="191"/>
    </row>
    <row r="24" spans="2:15" ht="15">
      <c r="B24" s="186">
        <v>43891</v>
      </c>
      <c r="C24" s="191"/>
      <c r="D24" s="190"/>
      <c r="E24" s="191"/>
      <c r="F24" s="190"/>
      <c r="G24" s="191"/>
      <c r="J24" s="186">
        <v>43891</v>
      </c>
      <c r="K24" s="191"/>
      <c r="L24" s="190"/>
      <c r="M24" s="191"/>
      <c r="N24" s="190"/>
      <c r="O24" s="191"/>
    </row>
    <row r="25" spans="2:15" ht="15">
      <c r="B25" s="186">
        <v>44256</v>
      </c>
      <c r="C25" s="191"/>
      <c r="D25" s="190"/>
      <c r="E25" s="191"/>
      <c r="F25" s="190"/>
      <c r="G25" s="191"/>
      <c r="J25" s="186">
        <v>44256</v>
      </c>
      <c r="K25" s="191"/>
      <c r="L25" s="190"/>
      <c r="M25" s="191"/>
      <c r="N25" s="190"/>
      <c r="O25" s="191"/>
    </row>
    <row r="26" spans="2:15" ht="15">
      <c r="B26" s="186">
        <v>44621</v>
      </c>
      <c r="C26" s="191"/>
      <c r="D26" s="190"/>
      <c r="E26" s="191"/>
      <c r="F26" s="190"/>
      <c r="G26" s="191"/>
      <c r="J26" s="186">
        <v>44621</v>
      </c>
      <c r="K26" s="191"/>
      <c r="L26" s="190"/>
      <c r="M26" s="191"/>
      <c r="N26" s="190"/>
      <c r="O26" s="191"/>
    </row>
    <row r="27" spans="2:15" ht="15">
      <c r="B27" s="186">
        <v>44986</v>
      </c>
      <c r="C27" s="191"/>
      <c r="D27" s="190"/>
      <c r="E27" s="191"/>
      <c r="F27" s="190"/>
      <c r="G27" s="191"/>
      <c r="J27" s="186">
        <v>44986</v>
      </c>
      <c r="K27" s="191"/>
      <c r="L27" s="190"/>
      <c r="M27" s="191"/>
      <c r="N27" s="190"/>
      <c r="O27" s="191"/>
    </row>
    <row r="29" spans="3:15" ht="16.2" thickBot="1">
      <c r="C29" s="192">
        <f>SUM(C15:C28)</f>
        <v>0</v>
      </c>
      <c r="D29" s="190"/>
      <c r="E29" s="192">
        <f>SUM(E13:E28)</f>
        <v>0</v>
      </c>
      <c r="F29" s="190"/>
      <c r="G29" s="192">
        <f>SUM(G11:G28)</f>
        <v>0</v>
      </c>
      <c r="K29" s="192">
        <f>SUM(K15:K28)</f>
        <v>0</v>
      </c>
      <c r="L29" s="190"/>
      <c r="M29" s="192">
        <f>SUM(M13:M28)</f>
        <v>0</v>
      </c>
      <c r="N29" s="190"/>
      <c r="O29" s="192">
        <f>SUM(O11:O28)</f>
        <v>0</v>
      </c>
    </row>
    <row r="30" ht="16.2" thickTop="1"/>
    <row r="31" spans="2:11" ht="15">
      <c r="B31" s="42" t="s">
        <v>249</v>
      </c>
      <c r="C31" s="189">
        <f>+C8+SUM(C29:G29)</f>
        <v>0</v>
      </c>
      <c r="J31" s="42" t="s">
        <v>249</v>
      </c>
      <c r="K31" s="189">
        <f>+K8+SUM(K29:O29)</f>
        <v>0</v>
      </c>
    </row>
    <row r="32" spans="2:11" ht="15">
      <c r="B32" s="42" t="s">
        <v>250</v>
      </c>
      <c r="C32" s="6">
        <f>HLOOKUP(C31,Refernce!I20:L22,2)+((+C31-HLOOKUP(+C31,Refernce!I20:L22,1))*(HLOOKUP(+C31,Refernce!I20:L22,3)))</f>
        <v>0</v>
      </c>
      <c r="J32" s="42" t="s">
        <v>250</v>
      </c>
      <c r="K32" s="6">
        <f>HLOOKUP(K31,Refernce!I26:L28,2)+((+K31-HLOOKUP(+K31,Refernce!I26:L28,1))*(HLOOKUP(+K31,Refernce!I26:L28,3)))</f>
        <v>0</v>
      </c>
    </row>
    <row r="33" spans="2:11" ht="15">
      <c r="B33" s="42" t="s">
        <v>252</v>
      </c>
      <c r="C33" s="189">
        <f>+C31-C8</f>
        <v>0</v>
      </c>
      <c r="J33" s="42" t="s">
        <v>252</v>
      </c>
      <c r="K33" s="189">
        <f>+K31-K8</f>
        <v>0</v>
      </c>
    </row>
    <row r="34" spans="2:11" ht="15">
      <c r="B34" s="42" t="s">
        <v>253</v>
      </c>
      <c r="C34" s="6">
        <f>HLOOKUP(C33,Refernce!I15:M17,2)+((+C33-HLOOKUP(+C33,Refernce!I15:M17,1))*(HLOOKUP(+C33,Refernce!I15:M17,3)))</f>
        <v>0</v>
      </c>
      <c r="J34" s="42" t="s">
        <v>253</v>
      </c>
      <c r="K34" s="6">
        <f>HLOOKUP(K33,Refernce!I26:L28,2)+((+K33-HLOOKUP(+K33,Refernce!I26:L28,1))*(HLOOKUP(+K33,Refernce!I26:L28,3)))</f>
        <v>0</v>
      </c>
    </row>
    <row r="36" spans="2:11" ht="16.2" thickBot="1">
      <c r="B36" s="42" t="s">
        <v>254</v>
      </c>
      <c r="C36" s="194">
        <f>+C32-C34</f>
        <v>0</v>
      </c>
      <c r="G36" s="106"/>
      <c r="J36" s="42" t="s">
        <v>254</v>
      </c>
      <c r="K36" s="194">
        <f>+K32-K34</f>
        <v>0</v>
      </c>
    </row>
    <row r="37" ht="16.2" thickTop="1"/>
  </sheetData>
  <mergeCells count="2">
    <mergeCell ref="E9:G9"/>
    <mergeCell ref="M9:O9"/>
  </mergeCells>
  <printOptions/>
  <pageMargins left="0.5" right="0.5" top="0.5" bottom="0.55" header="0.5" footer="0.5"/>
  <pageSetup fitToHeight="1" fitToWidth="1" horizontalDpi="300" verticalDpi="300" orientation="portrait" paperSize="9" scale="58" r:id="rId2"/>
  <headerFooter alignWithMargins="0">
    <oddFooter>&amp;L&amp;D&amp;C&amp;Z&amp;F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63"/>
  <sheetViews>
    <sheetView zoomScale="75" zoomScaleNormal="75" workbookViewId="0" topLeftCell="A12">
      <selection activeCell="E31" sqref="E31"/>
    </sheetView>
  </sheetViews>
  <sheetFormatPr defaultColWidth="8.88671875" defaultRowHeight="15"/>
  <cols>
    <col min="1" max="1" width="28.88671875" style="130" customWidth="1"/>
    <col min="2" max="2" width="12.6640625" style="130" bestFit="1" customWidth="1"/>
    <col min="3" max="3" width="13.99609375" style="130" bestFit="1" customWidth="1"/>
    <col min="4" max="4" width="1.77734375" style="130" customWidth="1"/>
    <col min="5" max="5" width="42.88671875" style="130" bestFit="1" customWidth="1"/>
    <col min="6" max="6" width="4.21484375" style="130" customWidth="1"/>
    <col min="7" max="7" width="3.4453125" style="130" customWidth="1"/>
    <col min="8" max="8" width="11.3359375" style="131" bestFit="1" customWidth="1"/>
    <col min="9" max="9" width="4.99609375" style="130" customWidth="1"/>
    <col min="10" max="10" width="29.77734375" style="130" bestFit="1" customWidth="1"/>
    <col min="11" max="11" width="2.99609375" style="130" customWidth="1"/>
    <col min="12" max="12" width="3.5546875" style="130" customWidth="1"/>
    <col min="13" max="13" width="11.3359375" style="131" bestFit="1" customWidth="1"/>
    <col min="14" max="16384" width="8.88671875" style="130" customWidth="1"/>
  </cols>
  <sheetData>
    <row r="1" spans="1:31" s="198" customFormat="1" ht="15.6">
      <c r="A1" s="197">
        <f>+'TP Info'!C3</f>
        <v>0</v>
      </c>
      <c r="E1" s="199">
        <f>A1</f>
        <v>0</v>
      </c>
      <c r="H1" s="214"/>
      <c r="J1" s="199">
        <f>E1</f>
        <v>0</v>
      </c>
      <c r="M1" s="214"/>
      <c r="AE1" s="198" t="s">
        <v>200</v>
      </c>
    </row>
    <row r="2" spans="1:31" s="198" customFormat="1" ht="15.6">
      <c r="A2" s="197">
        <f>+'TP Info'!C4</f>
        <v>0</v>
      </c>
      <c r="E2" s="199">
        <f aca="true" t="shared" si="0" ref="E2:E3">A2</f>
        <v>0</v>
      </c>
      <c r="H2" s="214"/>
      <c r="J2" s="199">
        <f aca="true" t="shared" si="1" ref="J2:J3">E2</f>
        <v>0</v>
      </c>
      <c r="M2" s="214"/>
      <c r="AE2" s="198" t="s">
        <v>201</v>
      </c>
    </row>
    <row r="3" spans="1:31" s="198" customFormat="1" ht="15.6">
      <c r="A3" s="199" t="s">
        <v>267</v>
      </c>
      <c r="E3" s="199" t="str">
        <f t="shared" si="0"/>
        <v>COMPUTATION OF TAXATION ON MEDICAL AID</v>
      </c>
      <c r="H3" s="214"/>
      <c r="J3" s="199" t="str">
        <f t="shared" si="1"/>
        <v>COMPUTATION OF TAXATION ON MEDICAL AID</v>
      </c>
      <c r="M3" s="214"/>
      <c r="AE3" s="198" t="s">
        <v>287</v>
      </c>
    </row>
    <row r="4" spans="1:13" s="198" customFormat="1" ht="15.6">
      <c r="A4" s="199" t="s">
        <v>268</v>
      </c>
      <c r="E4" s="199" t="s">
        <v>271</v>
      </c>
      <c r="H4" s="214"/>
      <c r="J4" s="199" t="s">
        <v>280</v>
      </c>
      <c r="M4" s="214"/>
    </row>
    <row r="5" spans="1:13" s="198" customFormat="1" ht="15.6">
      <c r="A5" s="199"/>
      <c r="H5" s="214"/>
      <c r="M5" s="214"/>
    </row>
    <row r="6" spans="1:13" s="198" customFormat="1" ht="15.6">
      <c r="A6" s="199"/>
      <c r="H6" s="214"/>
      <c r="M6" s="214"/>
    </row>
    <row r="7" ht="15.6">
      <c r="A7" s="200"/>
    </row>
    <row r="8" spans="1:13" ht="15.6">
      <c r="A8" s="200" t="s">
        <v>199</v>
      </c>
      <c r="C8" s="201" t="s">
        <v>201</v>
      </c>
      <c r="E8" s="130" t="s">
        <v>272</v>
      </c>
      <c r="G8" s="131"/>
      <c r="H8" s="131" t="e">
        <f>IF(OR(C8="y",C9="y"),IF(C37&gt;C10,C10,C37),0)</f>
        <v>#NUM!</v>
      </c>
      <c r="J8" s="130" t="s">
        <v>272</v>
      </c>
      <c r="L8" s="131"/>
      <c r="M8" s="131" t="e">
        <f>IF(OR(C8="y",C9="y"),0,IF(C37&gt;C10,C10,C37))</f>
        <v>#NUM!</v>
      </c>
    </row>
    <row r="9" spans="1:13" ht="15.6">
      <c r="A9" s="200" t="s">
        <v>269</v>
      </c>
      <c r="C9" s="203" t="e">
        <f>IF(OR('TP Info'!C9&gt;65,'TP Info'!C3=AE3),"Y","N")</f>
        <v>#NUM!</v>
      </c>
      <c r="E9" s="130" t="s">
        <v>273</v>
      </c>
      <c r="H9" s="131" t="e">
        <f>+H27</f>
        <v>#NUM!</v>
      </c>
      <c r="J9" s="130" t="s">
        <v>273</v>
      </c>
      <c r="M9" s="131" t="e">
        <f>+M26</f>
        <v>#NUM!</v>
      </c>
    </row>
    <row r="10" spans="1:13" ht="15.6" thickBot="1">
      <c r="A10" s="202" t="s">
        <v>167</v>
      </c>
      <c r="C10" s="203"/>
      <c r="E10" s="130" t="s">
        <v>279</v>
      </c>
      <c r="H10" s="215" t="e">
        <f>SUM(H8:H9)</f>
        <v>#NUM!</v>
      </c>
      <c r="J10" s="130" t="s">
        <v>279</v>
      </c>
      <c r="M10" s="215" t="e">
        <f>SUM(M8:M9)</f>
        <v>#NUM!</v>
      </c>
    </row>
    <row r="11" spans="1:13" ht="15.6" thickTop="1">
      <c r="A11" s="202" t="s">
        <v>290</v>
      </c>
      <c r="C11" s="203"/>
      <c r="H11" s="230"/>
      <c r="M11" s="230"/>
    </row>
    <row r="12" spans="1:13" ht="15">
      <c r="A12" s="202" t="s">
        <v>291</v>
      </c>
      <c r="C12" s="203">
        <f>+C10-C11</f>
        <v>0</v>
      </c>
      <c r="H12" s="230"/>
      <c r="M12" s="230"/>
    </row>
    <row r="13" spans="1:5" ht="15">
      <c r="A13" s="130" t="s">
        <v>93</v>
      </c>
      <c r="B13" s="204"/>
      <c r="C13" s="205"/>
      <c r="E13" s="220"/>
    </row>
    <row r="14" spans="1:3" ht="15">
      <c r="A14" s="130" t="s">
        <v>94</v>
      </c>
      <c r="B14" s="206"/>
      <c r="C14" s="205"/>
    </row>
    <row r="15" spans="1:5" ht="15">
      <c r="A15" s="130" t="s">
        <v>96</v>
      </c>
      <c r="B15" s="204"/>
      <c r="C15" s="201"/>
      <c r="E15" s="216" t="s">
        <v>274</v>
      </c>
    </row>
    <row r="16" spans="1:3" ht="15">
      <c r="A16" s="130" t="s">
        <v>97</v>
      </c>
      <c r="B16" s="204"/>
      <c r="C16" s="201"/>
    </row>
    <row r="17" spans="1:13" ht="15">
      <c r="A17" s="130" t="s">
        <v>270</v>
      </c>
      <c r="B17" s="206"/>
      <c r="C17" s="201"/>
      <c r="E17" s="130" t="s">
        <v>195</v>
      </c>
      <c r="H17" s="131" t="e">
        <f>IF(OR(C8="y",C9="y"),+C12,0)</f>
        <v>#NUM!</v>
      </c>
      <c r="J17" s="130" t="s">
        <v>195</v>
      </c>
      <c r="L17" s="131"/>
      <c r="M17" s="131" t="e">
        <f>IF(OR(C8="y",C9="y"),0,+C12)</f>
        <v>#NUM!</v>
      </c>
    </row>
    <row r="18" spans="5:13" ht="15">
      <c r="E18" s="130" t="s">
        <v>275</v>
      </c>
      <c r="H18" s="211" t="e">
        <f>-H8*3</f>
        <v>#NUM!</v>
      </c>
      <c r="J18" s="130" t="s">
        <v>93</v>
      </c>
      <c r="L18" s="131"/>
      <c r="M18" s="131" t="e">
        <f>IF(OR($C$8="y",$C$9="y"),0,+C13)</f>
        <v>#NUM!</v>
      </c>
    </row>
    <row r="19" spans="5:13" ht="15">
      <c r="E19" s="130" t="s">
        <v>276</v>
      </c>
      <c r="H19" s="131" t="e">
        <f>SUM(H17:H18)</f>
        <v>#NUM!</v>
      </c>
      <c r="J19" s="130" t="s">
        <v>94</v>
      </c>
      <c r="L19" s="131"/>
      <c r="M19" s="211" t="e">
        <f>IF(OR($C$8="y",$C$9="y"),0,+C14)</f>
        <v>#NUM!</v>
      </c>
    </row>
    <row r="20" spans="1:13" ht="15">
      <c r="A20" s="130" t="s">
        <v>167</v>
      </c>
      <c r="B20" s="131"/>
      <c r="E20" s="130" t="str">
        <f>+A13</f>
        <v>Medical not covered by medical aid</v>
      </c>
      <c r="H20" s="131" t="e">
        <f>IF(OR($C$8="y",$C$9="y"),+C13,0)</f>
        <v>#NUM!</v>
      </c>
      <c r="J20" s="130" t="s">
        <v>196</v>
      </c>
      <c r="L20" s="131"/>
      <c r="M20" s="131" t="e">
        <f>SUM(M17:M19)</f>
        <v>#NUM!</v>
      </c>
    </row>
    <row r="21" spans="2:13" ht="15">
      <c r="B21" s="131"/>
      <c r="E21" s="130" t="str">
        <f>+A14</f>
        <v>Medical costs not submitted</v>
      </c>
      <c r="H21" s="131" t="e">
        <f>IF(OR($C$8="y",$C$9="y"),+C14,0)</f>
        <v>#NUM!</v>
      </c>
      <c r="J21" s="130" t="s">
        <v>183</v>
      </c>
      <c r="L21" s="131"/>
      <c r="M21" s="211" t="e">
        <f>IF(OR($C$8="y",C9="y"),0,-C37*4)</f>
        <v>#NUM!</v>
      </c>
    </row>
    <row r="22" spans="1:13" ht="15">
      <c r="A22" s="130" t="s">
        <v>163</v>
      </c>
      <c r="B22" s="131"/>
      <c r="E22" s="130" t="str">
        <f>+A15</f>
        <v>Medical Expenses I.r.o Disability</v>
      </c>
      <c r="H22" s="131" t="e">
        <f>IF(OR($C$8="y",$C$9="y"),+C15,0)</f>
        <v>#NUM!</v>
      </c>
      <c r="J22" s="130" t="s">
        <v>196</v>
      </c>
      <c r="L22" s="131"/>
      <c r="M22" s="131" t="e">
        <f>+M20+M21</f>
        <v>#NUM!</v>
      </c>
    </row>
    <row r="23" spans="1:13" ht="15">
      <c r="A23" s="135" t="s">
        <v>164</v>
      </c>
      <c r="B23" s="136" t="s">
        <v>165</v>
      </c>
      <c r="C23" s="135" t="s">
        <v>166</v>
      </c>
      <c r="E23" s="130" t="str">
        <f>+A16</f>
        <v>Medical Expenses i.r.o Handicap</v>
      </c>
      <c r="H23" s="131" t="e">
        <f>IF(OR($C$8="y",$C$9="y"),+C16,0)</f>
        <v>#NUM!</v>
      </c>
      <c r="J23" s="130" t="s">
        <v>197</v>
      </c>
      <c r="L23" s="131"/>
      <c r="M23" s="131" t="e">
        <f>IF(OR($C$8="y",C9="y"),0,-Taxcalc!H53*Refernce!D13)</f>
        <v>#NUM!</v>
      </c>
    </row>
    <row r="24" spans="1:13" ht="15.6" thickBot="1">
      <c r="A24" s="207">
        <v>44621</v>
      </c>
      <c r="B24" s="208"/>
      <c r="C24" s="209">
        <f>IF(B24&lt;2,Refernce!$D$15*B24,((Refernce!$D$15*2)+(B24-2)*Refernce!$D$16))</f>
        <v>0</v>
      </c>
      <c r="E24" s="130" t="s">
        <v>281</v>
      </c>
      <c r="H24" s="217"/>
      <c r="J24" s="130" t="s">
        <v>198</v>
      </c>
      <c r="L24" s="131"/>
      <c r="M24" s="215" t="e">
        <f>+M22+M23</f>
        <v>#NUM!</v>
      </c>
    </row>
    <row r="25" spans="1:12" ht="16.2" thickBot="1" thickTop="1">
      <c r="A25" s="207">
        <v>44652</v>
      </c>
      <c r="B25" s="208"/>
      <c r="C25" s="209">
        <f>IF(B25&lt;2,Refernce!$D$15*B25,((Refernce!$D$15*2)+(B25-2)*Refernce!$D$16))</f>
        <v>0</v>
      </c>
      <c r="E25" s="130" t="s">
        <v>277</v>
      </c>
      <c r="H25" s="215" t="e">
        <f>SUM(H19:H24)</f>
        <v>#NUM!</v>
      </c>
      <c r="L25" s="131"/>
    </row>
    <row r="26" spans="1:13" ht="16.2" thickBot="1" thickTop="1">
      <c r="A26" s="207">
        <v>44682</v>
      </c>
      <c r="B26" s="208"/>
      <c r="C26" s="209">
        <f>IF(B26&lt;2,Refernce!$D$15*B26,((Refernce!$D$15*2)+(B26-2)*Refernce!$D$16))</f>
        <v>0</v>
      </c>
      <c r="J26" s="212" t="str">
        <f>Taxcalc!B68</f>
        <v>- Medical Aid Credit - 6(B)</v>
      </c>
      <c r="L26" s="131"/>
      <c r="M26" s="213" t="e">
        <f>IF(M24&gt;0,+M24*0.25,0)</f>
        <v>#NUM!</v>
      </c>
    </row>
    <row r="27" spans="1:8" ht="16.2" thickBot="1" thickTop="1">
      <c r="A27" s="207">
        <v>44713</v>
      </c>
      <c r="B27" s="208"/>
      <c r="C27" s="209">
        <f>IF(B27&lt;2,Refernce!$D$15*B27,((Refernce!$D$15*2)+(B27-2)*Refernce!$D$16))</f>
        <v>0</v>
      </c>
      <c r="E27" s="130" t="s">
        <v>278</v>
      </c>
      <c r="H27" s="213" t="e">
        <f>+H25*0.333</f>
        <v>#NUM!</v>
      </c>
    </row>
    <row r="28" spans="1:5" ht="15.6" thickTop="1">
      <c r="A28" s="207">
        <v>44743</v>
      </c>
      <c r="B28" s="208"/>
      <c r="C28" s="209">
        <f>IF(B28&lt;2,Refernce!$D$15*B28,((Refernce!$D$15*2)+(B28-2)*Refernce!$D$16))</f>
        <v>0</v>
      </c>
      <c r="E28" s="220"/>
    </row>
    <row r="29" spans="1:9" ht="15">
      <c r="A29" s="207">
        <v>44774</v>
      </c>
      <c r="B29" s="208"/>
      <c r="C29" s="209">
        <f>IF(B29&lt;2,Refernce!$D$15*B29,((Refernce!$D$15*2)+(B29-2)*Refernce!$D$16))</f>
        <v>0</v>
      </c>
      <c r="I29" s="209"/>
    </row>
    <row r="30" spans="1:3" ht="15">
      <c r="A30" s="207">
        <v>44805</v>
      </c>
      <c r="B30" s="208"/>
      <c r="C30" s="209">
        <f>IF(B30&lt;2,Refernce!$D$15*B30,((Refernce!$D$15*2)+(B30-2)*Refernce!$D$16))</f>
        <v>0</v>
      </c>
    </row>
    <row r="31" spans="1:9" ht="15">
      <c r="A31" s="207">
        <v>44835</v>
      </c>
      <c r="B31" s="208"/>
      <c r="C31" s="209">
        <f>IF(B31&lt;2,Refernce!$D$15*B31,((Refernce!$D$15*2)+(B31-2)*Refernce!$D$16))</f>
        <v>0</v>
      </c>
      <c r="I31" s="209"/>
    </row>
    <row r="32" spans="1:9" ht="15">
      <c r="A32" s="207">
        <v>44866</v>
      </c>
      <c r="B32" s="208"/>
      <c r="C32" s="209">
        <f>IF(B32&lt;2,Refernce!$D$15*B32,((Refernce!$D$15*2)+(B32-2)*Refernce!$D$16))</f>
        <v>0</v>
      </c>
      <c r="I32" s="209"/>
    </row>
    <row r="33" spans="1:9" ht="15">
      <c r="A33" s="207">
        <v>44896</v>
      </c>
      <c r="B33" s="208"/>
      <c r="C33" s="209">
        <f>IF(B33&lt;2,Refernce!$D$15*B33,((Refernce!$D$15*2)+(B33-2)*Refernce!$D$16))</f>
        <v>0</v>
      </c>
      <c r="I33" s="209"/>
    </row>
    <row r="34" spans="1:9" ht="15">
      <c r="A34" s="207">
        <v>44927</v>
      </c>
      <c r="B34" s="208"/>
      <c r="C34" s="209">
        <f>IF(B34&lt;2,Refernce!$D$15*B34,((Refernce!$D$15*2)+(B34-2)*Refernce!$D$16))</f>
        <v>0</v>
      </c>
      <c r="I34" s="209"/>
    </row>
    <row r="35" spans="1:9" ht="15">
      <c r="A35" s="207">
        <v>44958</v>
      </c>
      <c r="B35" s="208"/>
      <c r="C35" s="209">
        <f>IF(B35&lt;2,Refernce!$D$15*B35,((Refernce!$D$15*2)+(B35-2)*Refernce!$D$16))</f>
        <v>0</v>
      </c>
      <c r="I35" s="209"/>
    </row>
    <row r="36" spans="2:9" ht="15">
      <c r="B36" s="131"/>
      <c r="C36" s="209"/>
      <c r="I36" s="209"/>
    </row>
    <row r="37" spans="2:9" ht="15.6" thickBot="1">
      <c r="B37" s="131"/>
      <c r="C37" s="210">
        <f>SUM(C24:C35)</f>
        <v>0</v>
      </c>
      <c r="I37" s="209"/>
    </row>
    <row r="38" ht="15.6" thickTop="1">
      <c r="I38" s="209"/>
    </row>
    <row r="39" ht="15">
      <c r="I39" s="209"/>
    </row>
    <row r="40" ht="15">
      <c r="I40" s="209"/>
    </row>
    <row r="41" ht="15">
      <c r="I41" s="209"/>
    </row>
    <row r="42" ht="15">
      <c r="I42" s="209"/>
    </row>
    <row r="43" ht="15">
      <c r="I43" s="209"/>
    </row>
    <row r="44" ht="15">
      <c r="I44" s="209"/>
    </row>
    <row r="45" ht="15">
      <c r="I45" s="209"/>
    </row>
    <row r="48" ht="15">
      <c r="H48" s="130"/>
    </row>
    <row r="49" ht="15">
      <c r="H49" s="130"/>
    </row>
    <row r="50" ht="15">
      <c r="H50" s="130"/>
    </row>
    <row r="51" ht="15">
      <c r="H51" s="130"/>
    </row>
    <row r="52" ht="15">
      <c r="H52" s="130"/>
    </row>
    <row r="53" ht="15">
      <c r="H53" s="130"/>
    </row>
    <row r="54" ht="15">
      <c r="H54" s="130"/>
    </row>
    <row r="55" ht="15">
      <c r="H55" s="130"/>
    </row>
    <row r="56" ht="15">
      <c r="H56" s="130"/>
    </row>
    <row r="57" ht="15">
      <c r="H57" s="130"/>
    </row>
    <row r="58" ht="15">
      <c r="H58" s="130"/>
    </row>
    <row r="59" ht="15">
      <c r="H59" s="130"/>
    </row>
    <row r="60" ht="15">
      <c r="H60" s="130"/>
    </row>
    <row r="61" ht="15">
      <c r="H61" s="130"/>
    </row>
    <row r="62" ht="15">
      <c r="H62" s="130"/>
    </row>
    <row r="63" ht="15">
      <c r="H63" s="130"/>
    </row>
  </sheetData>
  <dataValidations count="1">
    <dataValidation type="list" allowBlank="1" showInputMessage="1" showErrorMessage="1" sqref="C8">
      <formula1>$AE$1:$AE$2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1"/>
  <sheetViews>
    <sheetView zoomScale="75" zoomScaleNormal="75" workbookViewId="0" topLeftCell="A1">
      <selection activeCell="D16" sqref="D16"/>
    </sheetView>
  </sheetViews>
  <sheetFormatPr defaultColWidth="8.88671875" defaultRowHeight="15"/>
  <cols>
    <col min="2" max="3" width="11.99609375" style="0" bestFit="1" customWidth="1"/>
    <col min="4" max="4" width="11.99609375" style="0" customWidth="1"/>
    <col min="5" max="5" width="9.88671875" style="0" bestFit="1" customWidth="1"/>
    <col min="6" max="6" width="12.10546875" style="0" bestFit="1" customWidth="1"/>
    <col min="7" max="7" width="10.3359375" style="0" bestFit="1" customWidth="1"/>
    <col min="9" max="9" width="12.5546875" style="0" bestFit="1" customWidth="1"/>
    <col min="10" max="10" width="13.5546875" style="0" bestFit="1" customWidth="1"/>
  </cols>
  <sheetData>
    <row r="1" spans="1:10" ht="15">
      <c r="A1" s="130"/>
      <c r="B1" s="131" t="s">
        <v>184</v>
      </c>
      <c r="C1" s="131">
        <v>434834.76</v>
      </c>
      <c r="D1" s="131"/>
      <c r="E1" s="131"/>
      <c r="F1" s="131"/>
      <c r="G1" s="131"/>
      <c r="H1" t="s">
        <v>185</v>
      </c>
      <c r="I1">
        <v>412763.53</v>
      </c>
      <c r="J1" s="132">
        <f>PV(I3,I4,I5,I2)</f>
        <v>412763.5263631718</v>
      </c>
    </row>
    <row r="2" spans="1:10" ht="15">
      <c r="A2" s="130"/>
      <c r="B2" s="131" t="s">
        <v>186</v>
      </c>
      <c r="C2" s="131">
        <v>0.1127</v>
      </c>
      <c r="D2" s="131"/>
      <c r="E2" s="131"/>
      <c r="F2" s="131"/>
      <c r="G2" s="131"/>
      <c r="H2" t="s">
        <v>187</v>
      </c>
      <c r="I2">
        <v>0</v>
      </c>
      <c r="J2" s="132">
        <f>FV(I3,I4,I5,I1)</f>
        <v>-0.03396211005747318</v>
      </c>
    </row>
    <row r="3" spans="1:10" ht="15">
      <c r="A3" s="130"/>
      <c r="B3" s="131"/>
      <c r="C3" s="131"/>
      <c r="D3" s="131"/>
      <c r="E3" s="131"/>
      <c r="F3" s="131"/>
      <c r="G3" s="131"/>
      <c r="H3" t="s">
        <v>188</v>
      </c>
      <c r="I3">
        <f>+C2/12</f>
        <v>0.009391666666666666</v>
      </c>
      <c r="J3" s="133">
        <f>RATE(I4,I5,I1,I2)</f>
        <v>0.009391666553823891</v>
      </c>
    </row>
    <row r="4" spans="1:10" ht="15">
      <c r="A4" s="130"/>
      <c r="B4" s="131" t="s">
        <v>189</v>
      </c>
      <c r="C4" s="131">
        <f>+F61</f>
        <v>416823.25262436917</v>
      </c>
      <c r="D4" s="131"/>
      <c r="E4" s="131"/>
      <c r="F4" s="131"/>
      <c r="G4" s="131"/>
      <c r="H4" t="s">
        <v>190</v>
      </c>
      <c r="I4">
        <v>239</v>
      </c>
      <c r="J4">
        <f>NPER(I3,I5,I1,I2)</f>
        <v>239.0000078594536</v>
      </c>
    </row>
    <row r="5" spans="1:10" ht="15">
      <c r="A5" s="130"/>
      <c r="B5" s="131" t="s">
        <v>191</v>
      </c>
      <c r="C5" s="131">
        <v>4341.44</v>
      </c>
      <c r="D5" s="131"/>
      <c r="E5" s="131">
        <v>2143.97</v>
      </c>
      <c r="F5" s="131"/>
      <c r="G5" s="131"/>
      <c r="H5" t="s">
        <v>191</v>
      </c>
      <c r="I5" s="134">
        <f>-C5</f>
        <v>-4341.44</v>
      </c>
      <c r="J5" s="132">
        <f>PMT(I3,I4,I1,I2)</f>
        <v>-4341.440038252105</v>
      </c>
    </row>
    <row r="6" spans="1:7" ht="15">
      <c r="A6" s="130"/>
      <c r="B6" s="131"/>
      <c r="C6" s="131"/>
      <c r="D6" s="131"/>
      <c r="E6" s="131"/>
      <c r="F6" s="131"/>
      <c r="G6" s="131"/>
    </row>
    <row r="7" spans="1:7" ht="15">
      <c r="A7" s="135" t="s">
        <v>192</v>
      </c>
      <c r="B7" s="136" t="s">
        <v>184</v>
      </c>
      <c r="C7" s="136" t="s">
        <v>158</v>
      </c>
      <c r="D7" s="136" t="s">
        <v>193</v>
      </c>
      <c r="E7" s="136" t="s">
        <v>191</v>
      </c>
      <c r="F7" s="136" t="s">
        <v>194</v>
      </c>
      <c r="G7" s="136"/>
    </row>
    <row r="8" spans="1:7" ht="15">
      <c r="A8" s="130">
        <v>1</v>
      </c>
      <c r="B8" s="131">
        <f>+C1</f>
        <v>434834.76</v>
      </c>
      <c r="C8" s="131">
        <f>+B8*$C$2/12</f>
        <v>4083.823121</v>
      </c>
      <c r="D8" s="131">
        <v>48</v>
      </c>
      <c r="E8" s="131">
        <f>-$C$5</f>
        <v>-4341.44</v>
      </c>
      <c r="F8" s="131">
        <f>+B8+C8+E8</f>
        <v>434577.14312100003</v>
      </c>
      <c r="G8" s="137">
        <v>40969</v>
      </c>
    </row>
    <row r="9" spans="1:7" ht="15">
      <c r="A9" s="130">
        <v>2</v>
      </c>
      <c r="B9" s="131">
        <f>+F8</f>
        <v>434577.14312100003</v>
      </c>
      <c r="C9" s="131">
        <f>+B9*$C$2/12</f>
        <v>4081.403669144725</v>
      </c>
      <c r="D9" s="131">
        <v>48</v>
      </c>
      <c r="E9" s="131">
        <f aca="true" t="shared" si="0" ref="E9:E61">-$C$5</f>
        <v>-4341.44</v>
      </c>
      <c r="F9" s="131">
        <f>+B9+C9+E9</f>
        <v>434317.10679014475</v>
      </c>
      <c r="G9" s="137">
        <v>41000</v>
      </c>
    </row>
    <row r="10" spans="1:7" ht="15">
      <c r="A10" s="130">
        <v>3</v>
      </c>
      <c r="B10" s="131">
        <f aca="true" t="shared" si="1" ref="B10:B61">+F9</f>
        <v>434317.10679014475</v>
      </c>
      <c r="C10" s="131">
        <f aca="true" t="shared" si="2" ref="C10:C61">+B10*$C$2/12</f>
        <v>4078.9614946041092</v>
      </c>
      <c r="D10" s="131">
        <v>48</v>
      </c>
      <c r="E10" s="131">
        <f t="shared" si="0"/>
        <v>-4341.44</v>
      </c>
      <c r="F10" s="131">
        <f aca="true" t="shared" si="3" ref="F10:F61">+B10+C10+E10</f>
        <v>434054.6282847489</v>
      </c>
      <c r="G10" s="137">
        <v>41030</v>
      </c>
    </row>
    <row r="11" spans="1:9" ht="15">
      <c r="A11" s="130">
        <v>4</v>
      </c>
      <c r="B11" s="131">
        <f t="shared" si="1"/>
        <v>434054.6282847489</v>
      </c>
      <c r="C11" s="131">
        <f t="shared" si="2"/>
        <v>4076.4963839742663</v>
      </c>
      <c r="D11" s="131">
        <v>48</v>
      </c>
      <c r="E11" s="131">
        <f t="shared" si="0"/>
        <v>-4341.44</v>
      </c>
      <c r="F11" s="131">
        <f t="shared" si="3"/>
        <v>433789.68466872314</v>
      </c>
      <c r="G11" s="137">
        <v>41061</v>
      </c>
      <c r="I11" s="138"/>
    </row>
    <row r="12" spans="1:9" ht="15">
      <c r="A12" s="130">
        <v>5</v>
      </c>
      <c r="B12" s="131">
        <f t="shared" si="1"/>
        <v>433789.68466872314</v>
      </c>
      <c r="C12" s="131">
        <f t="shared" si="2"/>
        <v>4074.0081218470914</v>
      </c>
      <c r="D12" s="131">
        <v>48</v>
      </c>
      <c r="E12" s="131">
        <f t="shared" si="0"/>
        <v>-4341.44</v>
      </c>
      <c r="F12" s="131">
        <f t="shared" si="3"/>
        <v>433522.25279057026</v>
      </c>
      <c r="G12" s="137">
        <v>41091</v>
      </c>
      <c r="I12" s="138"/>
    </row>
    <row r="13" spans="1:7" ht="15">
      <c r="A13" s="130">
        <v>6</v>
      </c>
      <c r="B13" s="131">
        <f t="shared" si="1"/>
        <v>433522.25279057026</v>
      </c>
      <c r="C13" s="131">
        <f t="shared" si="2"/>
        <v>4071.4964907914386</v>
      </c>
      <c r="D13" s="131">
        <v>48</v>
      </c>
      <c r="E13" s="131">
        <f t="shared" si="0"/>
        <v>-4341.44</v>
      </c>
      <c r="F13" s="131">
        <f t="shared" si="3"/>
        <v>433252.3092813617</v>
      </c>
      <c r="G13" s="137">
        <v>41122</v>
      </c>
    </row>
    <row r="14" spans="1:7" ht="15">
      <c r="A14" s="130">
        <v>7</v>
      </c>
      <c r="B14" s="131">
        <f t="shared" si="1"/>
        <v>433252.3092813617</v>
      </c>
      <c r="C14" s="131">
        <f t="shared" si="2"/>
        <v>4068.9612713341216</v>
      </c>
      <c r="D14" s="131">
        <v>48</v>
      </c>
      <c r="E14" s="131">
        <f t="shared" si="0"/>
        <v>-4341.44</v>
      </c>
      <c r="F14" s="131">
        <f t="shared" si="3"/>
        <v>432979.83055269584</v>
      </c>
      <c r="G14" s="137">
        <v>41153</v>
      </c>
    </row>
    <row r="15" spans="1:7" ht="15">
      <c r="A15" s="130">
        <v>8</v>
      </c>
      <c r="B15" s="131">
        <f t="shared" si="1"/>
        <v>432979.83055269584</v>
      </c>
      <c r="C15" s="131">
        <f t="shared" si="2"/>
        <v>4066.402241940735</v>
      </c>
      <c r="D15" s="131">
        <v>48</v>
      </c>
      <c r="E15" s="131">
        <f t="shared" si="0"/>
        <v>-4341.44</v>
      </c>
      <c r="F15" s="131">
        <f t="shared" si="3"/>
        <v>432704.79279463657</v>
      </c>
      <c r="G15" s="137">
        <v>41183</v>
      </c>
    </row>
    <row r="16" spans="1:7" ht="15">
      <c r="A16" s="130">
        <v>9</v>
      </c>
      <c r="B16" s="131">
        <f t="shared" si="1"/>
        <v>432704.79279463657</v>
      </c>
      <c r="C16" s="131">
        <f t="shared" si="2"/>
        <v>4063.819178996295</v>
      </c>
      <c r="D16" s="131">
        <v>48</v>
      </c>
      <c r="E16" s="131">
        <f t="shared" si="0"/>
        <v>-4341.44</v>
      </c>
      <c r="F16" s="131">
        <f t="shared" si="3"/>
        <v>432427.1719736329</v>
      </c>
      <c r="G16" s="137">
        <v>41214</v>
      </c>
    </row>
    <row r="17" spans="1:7" ht="15">
      <c r="A17" s="130">
        <v>10</v>
      </c>
      <c r="B17" s="131">
        <f t="shared" si="1"/>
        <v>432427.1719736329</v>
      </c>
      <c r="C17" s="131">
        <f t="shared" si="2"/>
        <v>4061.211856785702</v>
      </c>
      <c r="D17" s="131">
        <v>48</v>
      </c>
      <c r="E17" s="131">
        <f t="shared" si="0"/>
        <v>-4341.44</v>
      </c>
      <c r="F17" s="131">
        <f t="shared" si="3"/>
        <v>432146.9438304186</v>
      </c>
      <c r="G17" s="137">
        <v>41244</v>
      </c>
    </row>
    <row r="18" spans="1:7" ht="15">
      <c r="A18" s="130">
        <v>11</v>
      </c>
      <c r="B18" s="131">
        <f t="shared" si="1"/>
        <v>432146.9438304186</v>
      </c>
      <c r="C18" s="131">
        <f t="shared" si="2"/>
        <v>4058.580047474014</v>
      </c>
      <c r="D18" s="131">
        <v>48</v>
      </c>
      <c r="E18" s="131">
        <f t="shared" si="0"/>
        <v>-4341.44</v>
      </c>
      <c r="F18" s="131">
        <f t="shared" si="3"/>
        <v>431864.0838778926</v>
      </c>
      <c r="G18" s="137">
        <v>41275</v>
      </c>
    </row>
    <row r="19" spans="1:7" ht="15">
      <c r="A19" s="130">
        <v>12</v>
      </c>
      <c r="B19" s="131">
        <f t="shared" si="1"/>
        <v>431864.0838778926</v>
      </c>
      <c r="C19" s="131">
        <f t="shared" si="2"/>
        <v>4055.923521086541</v>
      </c>
      <c r="D19" s="131">
        <v>48</v>
      </c>
      <c r="E19" s="131">
        <f t="shared" si="0"/>
        <v>-4341.44</v>
      </c>
      <c r="F19" s="131">
        <f t="shared" si="3"/>
        <v>431578.5673989791</v>
      </c>
      <c r="G19" s="137">
        <v>41306</v>
      </c>
    </row>
    <row r="20" spans="1:7" ht="15">
      <c r="A20" s="130">
        <v>13</v>
      </c>
      <c r="B20" s="131">
        <f t="shared" si="1"/>
        <v>431578.5673989791</v>
      </c>
      <c r="C20" s="131">
        <f t="shared" si="2"/>
        <v>4053.242045488745</v>
      </c>
      <c r="D20" s="131">
        <v>48</v>
      </c>
      <c r="E20" s="131">
        <f t="shared" si="0"/>
        <v>-4341.44</v>
      </c>
      <c r="F20" s="131">
        <f t="shared" si="3"/>
        <v>431290.3694444678</v>
      </c>
      <c r="G20" s="137">
        <v>41334</v>
      </c>
    </row>
    <row r="21" spans="1:7" ht="15">
      <c r="A21" s="130">
        <v>14</v>
      </c>
      <c r="B21" s="131">
        <f t="shared" si="1"/>
        <v>431290.3694444678</v>
      </c>
      <c r="C21" s="131">
        <f t="shared" si="2"/>
        <v>4050.53538636596</v>
      </c>
      <c r="D21" s="131">
        <v>48</v>
      </c>
      <c r="E21" s="131">
        <f t="shared" si="0"/>
        <v>-4341.44</v>
      </c>
      <c r="F21" s="131">
        <f t="shared" si="3"/>
        <v>430999.4648308338</v>
      </c>
      <c r="G21" s="131"/>
    </row>
    <row r="22" spans="1:7" ht="15">
      <c r="A22" s="130">
        <v>15</v>
      </c>
      <c r="B22" s="131">
        <f t="shared" si="1"/>
        <v>430999.4648308338</v>
      </c>
      <c r="C22" s="131">
        <f t="shared" si="2"/>
        <v>4047.803307202914</v>
      </c>
      <c r="D22" s="131">
        <v>48</v>
      </c>
      <c r="E22" s="131">
        <f t="shared" si="0"/>
        <v>-4341.44</v>
      </c>
      <c r="F22" s="131">
        <f t="shared" si="3"/>
        <v>430705.8281380367</v>
      </c>
      <c r="G22" s="131"/>
    </row>
    <row r="23" spans="1:7" ht="15">
      <c r="A23" s="130">
        <v>16</v>
      </c>
      <c r="B23" s="131">
        <f t="shared" si="1"/>
        <v>430705.8281380367</v>
      </c>
      <c r="C23" s="131">
        <f t="shared" si="2"/>
        <v>4045.0455692630617</v>
      </c>
      <c r="D23" s="131">
        <v>48</v>
      </c>
      <c r="E23" s="131">
        <f t="shared" si="0"/>
        <v>-4341.44</v>
      </c>
      <c r="F23" s="131">
        <f t="shared" si="3"/>
        <v>430409.43370729976</v>
      </c>
      <c r="G23" s="131"/>
    </row>
    <row r="24" spans="1:7" ht="15">
      <c r="A24" s="130">
        <v>17</v>
      </c>
      <c r="B24" s="131">
        <f t="shared" si="1"/>
        <v>430409.43370729976</v>
      </c>
      <c r="C24" s="131">
        <f t="shared" si="2"/>
        <v>4042.2619315677234</v>
      </c>
      <c r="D24" s="131">
        <v>48</v>
      </c>
      <c r="E24" s="131">
        <f t="shared" si="0"/>
        <v>-4341.44</v>
      </c>
      <c r="F24" s="131">
        <f t="shared" si="3"/>
        <v>430110.2556388675</v>
      </c>
      <c r="G24" s="131"/>
    </row>
    <row r="25" spans="1:7" ht="15">
      <c r="A25" s="130">
        <v>18</v>
      </c>
      <c r="B25" s="131">
        <f t="shared" si="1"/>
        <v>430110.2556388675</v>
      </c>
      <c r="C25" s="131">
        <f t="shared" si="2"/>
        <v>4039.452150875031</v>
      </c>
      <c r="D25" s="131">
        <v>48</v>
      </c>
      <c r="E25" s="131">
        <f t="shared" si="0"/>
        <v>-4341.44</v>
      </c>
      <c r="F25" s="131">
        <f t="shared" si="3"/>
        <v>429808.2677897425</v>
      </c>
      <c r="G25" s="131"/>
    </row>
    <row r="26" spans="1:7" ht="15">
      <c r="A26" s="130">
        <v>19</v>
      </c>
      <c r="B26" s="131">
        <f t="shared" si="1"/>
        <v>429808.2677897425</v>
      </c>
      <c r="C26" s="131">
        <f t="shared" si="2"/>
        <v>4036.6159816586646</v>
      </c>
      <c r="D26" s="131">
        <v>48</v>
      </c>
      <c r="E26" s="131">
        <f t="shared" si="0"/>
        <v>-4341.44</v>
      </c>
      <c r="F26" s="131">
        <f t="shared" si="3"/>
        <v>429503.4437714012</v>
      </c>
      <c r="G26" s="131"/>
    </row>
    <row r="27" spans="1:7" ht="15">
      <c r="A27" s="130">
        <v>20</v>
      </c>
      <c r="B27" s="131">
        <f t="shared" si="1"/>
        <v>429503.4437714012</v>
      </c>
      <c r="C27" s="131">
        <f t="shared" si="2"/>
        <v>4033.7531760864094</v>
      </c>
      <c r="D27" s="131">
        <v>48</v>
      </c>
      <c r="E27" s="131">
        <f t="shared" si="0"/>
        <v>-4341.44</v>
      </c>
      <c r="F27" s="131">
        <f t="shared" si="3"/>
        <v>429195.7569474876</v>
      </c>
      <c r="G27" s="131"/>
    </row>
    <row r="28" spans="1:7" ht="15">
      <c r="A28" s="130">
        <v>21</v>
      </c>
      <c r="B28" s="131">
        <f t="shared" si="1"/>
        <v>429195.7569474876</v>
      </c>
      <c r="C28" s="131">
        <f t="shared" si="2"/>
        <v>4030.8634839984875</v>
      </c>
      <c r="D28" s="131">
        <v>48</v>
      </c>
      <c r="E28" s="131">
        <f t="shared" si="0"/>
        <v>-4341.44</v>
      </c>
      <c r="F28" s="131">
        <f t="shared" si="3"/>
        <v>428885.18043148605</v>
      </c>
      <c r="G28" s="131"/>
    </row>
    <row r="29" spans="1:7" ht="15">
      <c r="A29" s="130">
        <v>22</v>
      </c>
      <c r="B29" s="131">
        <f t="shared" si="1"/>
        <v>428885.18043148605</v>
      </c>
      <c r="C29" s="131">
        <f t="shared" si="2"/>
        <v>4027.9466528857065</v>
      </c>
      <c r="D29" s="131">
        <v>48</v>
      </c>
      <c r="E29" s="131">
        <f t="shared" si="0"/>
        <v>-4341.44</v>
      </c>
      <c r="F29" s="131">
        <f t="shared" si="3"/>
        <v>428571.68708437175</v>
      </c>
      <c r="G29" s="131"/>
    </row>
    <row r="30" spans="1:7" ht="15">
      <c r="A30" s="130">
        <v>23</v>
      </c>
      <c r="B30" s="131">
        <f t="shared" si="1"/>
        <v>428571.68708437175</v>
      </c>
      <c r="C30" s="131">
        <f t="shared" si="2"/>
        <v>4025.0024278673914</v>
      </c>
      <c r="D30" s="131">
        <v>48</v>
      </c>
      <c r="E30" s="131">
        <f t="shared" si="0"/>
        <v>-4341.44</v>
      </c>
      <c r="F30" s="131">
        <f t="shared" si="3"/>
        <v>428255.2495122391</v>
      </c>
      <c r="G30" s="131"/>
    </row>
    <row r="31" spans="1:7" ht="15">
      <c r="A31" s="130">
        <v>24</v>
      </c>
      <c r="B31" s="131">
        <f t="shared" si="1"/>
        <v>428255.2495122391</v>
      </c>
      <c r="C31" s="131">
        <f t="shared" si="2"/>
        <v>4022.030551669112</v>
      </c>
      <c r="D31" s="131">
        <v>48</v>
      </c>
      <c r="E31" s="131">
        <f t="shared" si="0"/>
        <v>-4341.44</v>
      </c>
      <c r="F31" s="131">
        <f t="shared" si="3"/>
        <v>427935.84006390825</v>
      </c>
      <c r="G31" s="131"/>
    </row>
    <row r="32" spans="1:7" ht="15">
      <c r="A32" s="130">
        <v>25</v>
      </c>
      <c r="B32" s="131">
        <f t="shared" si="1"/>
        <v>427935.84006390825</v>
      </c>
      <c r="C32" s="131">
        <f t="shared" si="2"/>
        <v>4019.030764600205</v>
      </c>
      <c r="D32" s="131">
        <v>48</v>
      </c>
      <c r="E32" s="131">
        <f t="shared" si="0"/>
        <v>-4341.44</v>
      </c>
      <c r="F32" s="131">
        <f t="shared" si="3"/>
        <v>427613.43082850846</v>
      </c>
      <c r="G32" s="131"/>
    </row>
    <row r="33" spans="1:7" ht="15">
      <c r="A33" s="130">
        <v>26</v>
      </c>
      <c r="B33" s="131">
        <f t="shared" si="1"/>
        <v>427613.43082850846</v>
      </c>
      <c r="C33" s="131">
        <f t="shared" si="2"/>
        <v>4016.002804531075</v>
      </c>
      <c r="D33" s="131">
        <v>48</v>
      </c>
      <c r="E33" s="131">
        <f t="shared" si="0"/>
        <v>-4341.44</v>
      </c>
      <c r="F33" s="131">
        <f t="shared" si="3"/>
        <v>427287.9936330395</v>
      </c>
      <c r="G33" s="131"/>
    </row>
    <row r="34" spans="1:7" ht="15">
      <c r="A34" s="130">
        <v>27</v>
      </c>
      <c r="B34" s="131">
        <f t="shared" si="1"/>
        <v>427287.9936330395</v>
      </c>
      <c r="C34" s="131">
        <f t="shared" si="2"/>
        <v>4012.946406870296</v>
      </c>
      <c r="D34" s="131">
        <v>48</v>
      </c>
      <c r="E34" s="131">
        <f t="shared" si="0"/>
        <v>-4341.44</v>
      </c>
      <c r="F34" s="131">
        <f t="shared" si="3"/>
        <v>426959.50003990985</v>
      </c>
      <c r="G34" s="131"/>
    </row>
    <row r="35" spans="1:7" ht="15">
      <c r="A35" s="130">
        <v>28</v>
      </c>
      <c r="B35" s="131">
        <f t="shared" si="1"/>
        <v>426959.50003990985</v>
      </c>
      <c r="C35" s="131">
        <f t="shared" si="2"/>
        <v>4009.8613045414863</v>
      </c>
      <c r="D35" s="131">
        <v>48</v>
      </c>
      <c r="E35" s="131">
        <f t="shared" si="0"/>
        <v>-4341.44</v>
      </c>
      <c r="F35" s="131">
        <f t="shared" si="3"/>
        <v>426627.9213444513</v>
      </c>
      <c r="G35" s="131"/>
    </row>
    <row r="36" spans="1:7" ht="15">
      <c r="A36" s="130">
        <v>29</v>
      </c>
      <c r="B36" s="131">
        <f t="shared" si="1"/>
        <v>426627.9213444513</v>
      </c>
      <c r="C36" s="131">
        <f t="shared" si="2"/>
        <v>4006.7472279599715</v>
      </c>
      <c r="D36" s="131">
        <v>48</v>
      </c>
      <c r="E36" s="131">
        <f t="shared" si="0"/>
        <v>-4341.44</v>
      </c>
      <c r="F36" s="131">
        <f t="shared" si="3"/>
        <v>426293.2285724113</v>
      </c>
      <c r="G36" s="131"/>
    </row>
    <row r="37" spans="1:7" ht="15">
      <c r="A37" s="130">
        <v>30</v>
      </c>
      <c r="B37" s="131">
        <f t="shared" si="1"/>
        <v>426293.2285724113</v>
      </c>
      <c r="C37" s="131">
        <f t="shared" si="2"/>
        <v>4003.603905009229</v>
      </c>
      <c r="D37" s="131">
        <v>48</v>
      </c>
      <c r="E37" s="131">
        <f t="shared" si="0"/>
        <v>-4341.44</v>
      </c>
      <c r="F37" s="131">
        <f t="shared" si="3"/>
        <v>425955.3924774205</v>
      </c>
      <c r="G37" s="131"/>
    </row>
    <row r="38" spans="1:7" ht="15">
      <c r="A38" s="130">
        <v>31</v>
      </c>
      <c r="B38" s="131">
        <f t="shared" si="1"/>
        <v>425955.3924774205</v>
      </c>
      <c r="C38" s="131">
        <f t="shared" si="2"/>
        <v>4000.4310610171074</v>
      </c>
      <c r="D38" s="131">
        <v>48</v>
      </c>
      <c r="E38" s="131">
        <f t="shared" si="0"/>
        <v>-4341.44</v>
      </c>
      <c r="F38" s="131">
        <f t="shared" si="3"/>
        <v>425614.3835384376</v>
      </c>
      <c r="G38" s="131"/>
    </row>
    <row r="39" spans="1:7" ht="15">
      <c r="A39" s="130">
        <v>32</v>
      </c>
      <c r="B39" s="131">
        <f t="shared" si="1"/>
        <v>425614.3835384376</v>
      </c>
      <c r="C39" s="131">
        <f t="shared" si="2"/>
        <v>3997.228418731826</v>
      </c>
      <c r="D39" s="131">
        <v>48</v>
      </c>
      <c r="E39" s="131">
        <f t="shared" si="0"/>
        <v>-4341.44</v>
      </c>
      <c r="F39" s="131">
        <f t="shared" si="3"/>
        <v>425270.1719571694</v>
      </c>
      <c r="G39" s="131"/>
    </row>
    <row r="40" spans="1:7" ht="15">
      <c r="A40" s="130">
        <v>33</v>
      </c>
      <c r="B40" s="131">
        <f t="shared" si="1"/>
        <v>425270.1719571694</v>
      </c>
      <c r="C40" s="131">
        <f t="shared" si="2"/>
        <v>3993.995698297749</v>
      </c>
      <c r="D40" s="131">
        <v>48</v>
      </c>
      <c r="E40" s="131">
        <f t="shared" si="0"/>
        <v>-4341.44</v>
      </c>
      <c r="F40" s="131">
        <f t="shared" si="3"/>
        <v>424922.72765546717</v>
      </c>
      <c r="G40" s="131"/>
    </row>
    <row r="41" spans="1:7" ht="15">
      <c r="A41" s="130">
        <v>34</v>
      </c>
      <c r="B41" s="131">
        <f t="shared" si="1"/>
        <v>424922.72765546717</v>
      </c>
      <c r="C41" s="131">
        <f t="shared" si="2"/>
        <v>3990.732617230929</v>
      </c>
      <c r="D41" s="131">
        <v>48</v>
      </c>
      <c r="E41" s="131">
        <f t="shared" si="0"/>
        <v>-4341.44</v>
      </c>
      <c r="F41" s="131">
        <f t="shared" si="3"/>
        <v>424572.0202726981</v>
      </c>
      <c r="G41" s="131"/>
    </row>
    <row r="42" spans="1:7" ht="15">
      <c r="A42" s="130">
        <v>35</v>
      </c>
      <c r="B42" s="131">
        <f t="shared" si="1"/>
        <v>424572.0202726981</v>
      </c>
      <c r="C42" s="131">
        <f t="shared" si="2"/>
        <v>3987.4388903944223</v>
      </c>
      <c r="D42" s="131">
        <v>48</v>
      </c>
      <c r="E42" s="131">
        <f t="shared" si="0"/>
        <v>-4341.44</v>
      </c>
      <c r="F42" s="131">
        <f t="shared" si="3"/>
        <v>424218.0191630925</v>
      </c>
      <c r="G42" s="131"/>
    </row>
    <row r="43" spans="1:7" ht="15">
      <c r="A43" s="130">
        <v>36</v>
      </c>
      <c r="B43" s="131">
        <f t="shared" si="1"/>
        <v>424218.0191630925</v>
      </c>
      <c r="C43" s="131">
        <f t="shared" si="2"/>
        <v>3984.1142299733765</v>
      </c>
      <c r="D43" s="131">
        <v>48</v>
      </c>
      <c r="E43" s="131">
        <f t="shared" si="0"/>
        <v>-4341.44</v>
      </c>
      <c r="F43" s="131">
        <f t="shared" si="3"/>
        <v>423860.6933930659</v>
      </c>
      <c r="G43" s="131"/>
    </row>
    <row r="44" spans="1:7" ht="15">
      <c r="A44" s="130">
        <v>37</v>
      </c>
      <c r="B44" s="131">
        <f t="shared" si="1"/>
        <v>423860.6933930659</v>
      </c>
      <c r="C44" s="131">
        <f t="shared" si="2"/>
        <v>3980.7583454498767</v>
      </c>
      <c r="D44" s="131">
        <v>48</v>
      </c>
      <c r="E44" s="131">
        <f t="shared" si="0"/>
        <v>-4341.44</v>
      </c>
      <c r="F44" s="131">
        <f t="shared" si="3"/>
        <v>423500.01173851575</v>
      </c>
      <c r="G44" s="131"/>
    </row>
    <row r="45" spans="1:7" ht="15">
      <c r="A45" s="130">
        <v>38</v>
      </c>
      <c r="B45" s="131">
        <f t="shared" si="1"/>
        <v>423500.01173851575</v>
      </c>
      <c r="C45" s="131">
        <f t="shared" si="2"/>
        <v>3977.37094357756</v>
      </c>
      <c r="D45" s="131">
        <v>48</v>
      </c>
      <c r="E45" s="131">
        <f t="shared" si="0"/>
        <v>-4341.44</v>
      </c>
      <c r="F45" s="131">
        <f t="shared" si="3"/>
        <v>423135.9426820933</v>
      </c>
      <c r="G45" s="131"/>
    </row>
    <row r="46" spans="1:7" ht="15">
      <c r="A46" s="130">
        <v>39</v>
      </c>
      <c r="B46" s="131">
        <f t="shared" si="1"/>
        <v>423135.9426820933</v>
      </c>
      <c r="C46" s="131">
        <f t="shared" si="2"/>
        <v>3973.9517283559926</v>
      </c>
      <c r="D46" s="131">
        <v>48</v>
      </c>
      <c r="E46" s="131">
        <f t="shared" si="0"/>
        <v>-4341.44</v>
      </c>
      <c r="F46" s="131">
        <f t="shared" si="3"/>
        <v>422768.4544104493</v>
      </c>
      <c r="G46" s="131"/>
    </row>
    <row r="47" spans="1:7" ht="15">
      <c r="A47" s="130">
        <v>40</v>
      </c>
      <c r="B47" s="131">
        <f t="shared" si="1"/>
        <v>422768.4544104493</v>
      </c>
      <c r="C47" s="131">
        <f t="shared" si="2"/>
        <v>3970.500401004803</v>
      </c>
      <c r="D47" s="131">
        <v>48</v>
      </c>
      <c r="E47" s="131">
        <f t="shared" si="0"/>
        <v>-4341.44</v>
      </c>
      <c r="F47" s="131">
        <f t="shared" si="3"/>
        <v>422397.5148114541</v>
      </c>
      <c r="G47" s="131"/>
    </row>
    <row r="48" spans="1:7" ht="15">
      <c r="A48" s="130">
        <v>41</v>
      </c>
      <c r="B48" s="131">
        <f t="shared" si="1"/>
        <v>422397.5148114541</v>
      </c>
      <c r="C48" s="131">
        <f t="shared" si="2"/>
        <v>3967.016659937573</v>
      </c>
      <c r="D48" s="131">
        <v>48</v>
      </c>
      <c r="E48" s="131">
        <f t="shared" si="0"/>
        <v>-4341.44</v>
      </c>
      <c r="F48" s="131">
        <f t="shared" si="3"/>
        <v>422023.0914713917</v>
      </c>
      <c r="G48" s="131"/>
    </row>
    <row r="49" spans="1:7" ht="15">
      <c r="A49" s="130">
        <v>42</v>
      </c>
      <c r="B49" s="131">
        <f t="shared" si="1"/>
        <v>422023.0914713917</v>
      </c>
      <c r="C49" s="131">
        <f t="shared" si="2"/>
        <v>3963.5002007354865</v>
      </c>
      <c r="D49" s="131">
        <v>48</v>
      </c>
      <c r="E49" s="131">
        <f t="shared" si="0"/>
        <v>-4341.44</v>
      </c>
      <c r="F49" s="131">
        <f t="shared" si="3"/>
        <v>421645.15167212713</v>
      </c>
      <c r="G49" s="131"/>
    </row>
    <row r="50" spans="1:7" ht="15">
      <c r="A50" s="130">
        <v>43</v>
      </c>
      <c r="B50" s="131">
        <f t="shared" si="1"/>
        <v>421645.15167212713</v>
      </c>
      <c r="C50" s="131">
        <f t="shared" si="2"/>
        <v>3959.950716120727</v>
      </c>
      <c r="D50" s="131">
        <v>48</v>
      </c>
      <c r="E50" s="131">
        <f t="shared" si="0"/>
        <v>-4341.44</v>
      </c>
      <c r="F50" s="131">
        <f t="shared" si="3"/>
        <v>421263.66238824785</v>
      </c>
      <c r="G50" s="131"/>
    </row>
    <row r="51" spans="1:7" ht="15">
      <c r="A51" s="130">
        <v>44</v>
      </c>
      <c r="B51" s="131">
        <f t="shared" si="1"/>
        <v>421263.66238824785</v>
      </c>
      <c r="C51" s="131">
        <f t="shared" si="2"/>
        <v>3956.367895929627</v>
      </c>
      <c r="D51" s="131">
        <v>48</v>
      </c>
      <c r="E51" s="131">
        <f t="shared" si="0"/>
        <v>-4341.44</v>
      </c>
      <c r="F51" s="131">
        <f t="shared" si="3"/>
        <v>420878.59028417745</v>
      </c>
      <c r="G51" s="131"/>
    </row>
    <row r="52" spans="1:7" ht="15">
      <c r="A52" s="130">
        <v>45</v>
      </c>
      <c r="B52" s="131">
        <f t="shared" si="1"/>
        <v>420878.59028417745</v>
      </c>
      <c r="C52" s="131">
        <f t="shared" si="2"/>
        <v>3952.7514270855663</v>
      </c>
      <c r="D52" s="131">
        <v>48</v>
      </c>
      <c r="E52" s="131">
        <f t="shared" si="0"/>
        <v>-4341.44</v>
      </c>
      <c r="F52" s="131">
        <f t="shared" si="3"/>
        <v>420489.901711263</v>
      </c>
      <c r="G52" s="131"/>
    </row>
    <row r="53" spans="1:7" ht="15">
      <c r="A53" s="130">
        <v>46</v>
      </c>
      <c r="B53" s="131">
        <f t="shared" si="1"/>
        <v>420489.901711263</v>
      </c>
      <c r="C53" s="131">
        <f t="shared" si="2"/>
        <v>3949.1009935716115</v>
      </c>
      <c r="D53" s="131">
        <v>48</v>
      </c>
      <c r="E53" s="131">
        <f t="shared" si="0"/>
        <v>-4341.44</v>
      </c>
      <c r="F53" s="131">
        <f t="shared" si="3"/>
        <v>420097.5627048346</v>
      </c>
      <c r="G53" s="131"/>
    </row>
    <row r="54" spans="1:7" ht="15">
      <c r="A54" s="130">
        <v>47</v>
      </c>
      <c r="B54" s="131">
        <f t="shared" si="1"/>
        <v>420097.5627048346</v>
      </c>
      <c r="C54" s="131">
        <f t="shared" si="2"/>
        <v>3945.4162764029047</v>
      </c>
      <c r="D54" s="131">
        <v>48</v>
      </c>
      <c r="E54" s="131">
        <f t="shared" si="0"/>
        <v>-4341.44</v>
      </c>
      <c r="F54" s="131">
        <f t="shared" si="3"/>
        <v>419701.5389812375</v>
      </c>
      <c r="G54" s="131"/>
    </row>
    <row r="55" spans="1:7" ht="15">
      <c r="A55" s="130">
        <v>48</v>
      </c>
      <c r="B55" s="131">
        <f t="shared" si="1"/>
        <v>419701.5389812375</v>
      </c>
      <c r="C55" s="131">
        <f t="shared" si="2"/>
        <v>3941.6969535987887</v>
      </c>
      <c r="D55" s="131">
        <v>48</v>
      </c>
      <c r="E55" s="131">
        <f t="shared" si="0"/>
        <v>-4341.44</v>
      </c>
      <c r="F55" s="131">
        <f t="shared" si="3"/>
        <v>419301.7959348363</v>
      </c>
      <c r="G55" s="131"/>
    </row>
    <row r="56" spans="1:7" ht="15">
      <c r="A56" s="130">
        <v>49</v>
      </c>
      <c r="B56" s="131">
        <f t="shared" si="1"/>
        <v>419301.7959348363</v>
      </c>
      <c r="C56" s="131">
        <f t="shared" si="2"/>
        <v>3937.9427001546705</v>
      </c>
      <c r="D56" s="131">
        <v>48</v>
      </c>
      <c r="E56" s="131">
        <f t="shared" si="0"/>
        <v>-4341.44</v>
      </c>
      <c r="F56" s="131">
        <f t="shared" si="3"/>
        <v>418898.298634991</v>
      </c>
      <c r="G56" s="131"/>
    </row>
    <row r="57" spans="1:7" ht="15">
      <c r="A57" s="130">
        <v>50</v>
      </c>
      <c r="B57" s="131">
        <f t="shared" si="1"/>
        <v>418898.298634991</v>
      </c>
      <c r="C57" s="131">
        <f t="shared" si="2"/>
        <v>3934.153188013623</v>
      </c>
      <c r="D57" s="131">
        <v>48</v>
      </c>
      <c r="E57" s="131">
        <f t="shared" si="0"/>
        <v>-4341.44</v>
      </c>
      <c r="F57" s="131">
        <f t="shared" si="3"/>
        <v>418491.01182300464</v>
      </c>
      <c r="G57" s="131"/>
    </row>
    <row r="58" spans="1:7" ht="15">
      <c r="A58" s="130">
        <v>51</v>
      </c>
      <c r="B58" s="131">
        <f t="shared" si="1"/>
        <v>418491.01182300464</v>
      </c>
      <c r="C58" s="131">
        <f t="shared" si="2"/>
        <v>3930.328086037718</v>
      </c>
      <c r="D58" s="131">
        <v>48</v>
      </c>
      <c r="E58" s="131">
        <f t="shared" si="0"/>
        <v>-4341.44</v>
      </c>
      <c r="F58" s="131">
        <f t="shared" si="3"/>
        <v>418079.89990904235</v>
      </c>
      <c r="G58" s="131"/>
    </row>
    <row r="59" spans="1:7" ht="15">
      <c r="A59" s="130">
        <v>52</v>
      </c>
      <c r="B59" s="131">
        <f t="shared" si="1"/>
        <v>418079.89990904235</v>
      </c>
      <c r="C59" s="131">
        <f t="shared" si="2"/>
        <v>3926.4670599790893</v>
      </c>
      <c r="D59" s="131">
        <v>48</v>
      </c>
      <c r="E59" s="131">
        <f t="shared" si="0"/>
        <v>-4341.44</v>
      </c>
      <c r="F59" s="131">
        <f t="shared" si="3"/>
        <v>417664.92696902144</v>
      </c>
      <c r="G59" s="131"/>
    </row>
    <row r="60" spans="1:7" ht="15">
      <c r="A60" s="130">
        <v>53</v>
      </c>
      <c r="B60" s="131">
        <f t="shared" si="1"/>
        <v>417664.92696902144</v>
      </c>
      <c r="C60" s="131">
        <f t="shared" si="2"/>
        <v>3922.5697724507263</v>
      </c>
      <c r="D60" s="131">
        <v>48</v>
      </c>
      <c r="E60" s="131">
        <f t="shared" si="0"/>
        <v>-4341.44</v>
      </c>
      <c r="F60" s="131">
        <f t="shared" si="3"/>
        <v>417246.05674147216</v>
      </c>
      <c r="G60" s="131"/>
    </row>
    <row r="61" spans="1:7" ht="15">
      <c r="A61" s="130">
        <v>54</v>
      </c>
      <c r="B61" s="131">
        <f t="shared" si="1"/>
        <v>417246.05674147216</v>
      </c>
      <c r="C61" s="131">
        <f t="shared" si="2"/>
        <v>3918.635882896993</v>
      </c>
      <c r="D61" s="131">
        <v>48</v>
      </c>
      <c r="E61" s="131">
        <f t="shared" si="0"/>
        <v>-4341.44</v>
      </c>
      <c r="F61" s="131">
        <f t="shared" si="3"/>
        <v>416823.25262436917</v>
      </c>
      <c r="G61" s="13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L60"/>
  <sheetViews>
    <sheetView zoomScale="75" zoomScaleNormal="75" workbookViewId="0" topLeftCell="A11">
      <selection activeCell="L21" sqref="L21"/>
    </sheetView>
  </sheetViews>
  <sheetFormatPr defaultColWidth="8.88671875" defaultRowHeight="15"/>
  <cols>
    <col min="1" max="1" width="11.4453125" style="0" customWidth="1"/>
    <col min="2" max="2" width="10.5546875" style="0" customWidth="1"/>
    <col min="3" max="3" width="15.10546875" style="0" customWidth="1"/>
    <col min="4" max="4" width="9.4453125" style="0" bestFit="1" customWidth="1"/>
    <col min="5" max="6" width="10.88671875" style="0" bestFit="1" customWidth="1"/>
    <col min="7" max="7" width="10.5546875" style="0" customWidth="1"/>
    <col min="10" max="10" width="11.3359375" style="0" bestFit="1" customWidth="1"/>
    <col min="11" max="11" width="11.4453125" style="0" bestFit="1" customWidth="1"/>
    <col min="12" max="12" width="10.99609375" style="0" customWidth="1"/>
    <col min="13" max="13" width="12.88671875" style="113" bestFit="1" customWidth="1"/>
  </cols>
  <sheetData>
    <row r="2" ht="15.6">
      <c r="A2" s="17" t="s">
        <v>90</v>
      </c>
    </row>
    <row r="4" spans="1:4" ht="15">
      <c r="A4" t="s">
        <v>55</v>
      </c>
      <c r="D4" s="18">
        <f>DATE(2023,2,28)</f>
        <v>44985</v>
      </c>
    </row>
    <row r="5" spans="1:4" ht="15">
      <c r="A5" t="s">
        <v>61</v>
      </c>
      <c r="D5" s="16">
        <v>23800</v>
      </c>
    </row>
    <row r="6" spans="1:4" ht="15">
      <c r="A6" t="s">
        <v>62</v>
      </c>
      <c r="D6" s="16">
        <v>34500</v>
      </c>
    </row>
    <row r="7" spans="1:4" ht="15">
      <c r="A7" t="s">
        <v>63</v>
      </c>
      <c r="D7" s="16">
        <v>0</v>
      </c>
    </row>
    <row r="8" spans="1:4" ht="15">
      <c r="A8" t="s">
        <v>64</v>
      </c>
      <c r="D8" s="16">
        <v>17235</v>
      </c>
    </row>
    <row r="9" spans="1:4" ht="15">
      <c r="A9" t="s">
        <v>65</v>
      </c>
      <c r="D9" s="16">
        <f>26679-17235</f>
        <v>9444</v>
      </c>
    </row>
    <row r="10" spans="1:4" ht="15">
      <c r="A10" t="s">
        <v>179</v>
      </c>
      <c r="D10" s="16">
        <f>29824-D9-D8</f>
        <v>3145</v>
      </c>
    </row>
    <row r="11" spans="1:7" ht="15">
      <c r="A11" t="s">
        <v>69</v>
      </c>
      <c r="D11" s="16">
        <v>40000</v>
      </c>
      <c r="G11" s="113"/>
    </row>
    <row r="12" spans="1:4" ht="15">
      <c r="A12" t="s">
        <v>70</v>
      </c>
      <c r="D12" s="38">
        <v>0.4</v>
      </c>
    </row>
    <row r="13" spans="1:4" ht="15">
      <c r="A13" t="s">
        <v>143</v>
      </c>
      <c r="D13" s="104">
        <v>0.075</v>
      </c>
    </row>
    <row r="14" spans="1:9" ht="15">
      <c r="A14" t="s">
        <v>142</v>
      </c>
      <c r="D14" s="16">
        <v>0</v>
      </c>
      <c r="I14" t="s">
        <v>251</v>
      </c>
    </row>
    <row r="15" spans="1:12" ht="15">
      <c r="A15" t="s">
        <v>170</v>
      </c>
      <c r="D15" s="16">
        <v>364</v>
      </c>
      <c r="I15">
        <v>0</v>
      </c>
      <c r="J15" s="16">
        <v>500000</v>
      </c>
      <c r="K15" s="16">
        <v>700000</v>
      </c>
      <c r="L15" s="16">
        <v>1050000</v>
      </c>
    </row>
    <row r="16" spans="1:12" ht="15">
      <c r="A16" t="s">
        <v>171</v>
      </c>
      <c r="D16" s="16">
        <v>246</v>
      </c>
      <c r="F16" s="129"/>
      <c r="I16">
        <v>0</v>
      </c>
      <c r="J16" s="16">
        <v>0</v>
      </c>
      <c r="K16" s="16">
        <v>36000</v>
      </c>
      <c r="L16" s="16">
        <v>130500</v>
      </c>
    </row>
    <row r="17" spans="1:12" ht="15">
      <c r="A17" t="s">
        <v>175</v>
      </c>
      <c r="D17" s="16">
        <v>500000</v>
      </c>
      <c r="E17" s="129"/>
      <c r="F17" s="129"/>
      <c r="I17">
        <v>0</v>
      </c>
      <c r="J17">
        <v>0.18</v>
      </c>
      <c r="K17">
        <v>0.27</v>
      </c>
      <c r="L17">
        <v>0.36</v>
      </c>
    </row>
    <row r="18" spans="1:4" ht="15">
      <c r="A18" t="s">
        <v>176</v>
      </c>
      <c r="D18" s="16">
        <v>25000</v>
      </c>
    </row>
    <row r="19" spans="1:9" ht="15">
      <c r="A19" t="s">
        <v>54</v>
      </c>
      <c r="I19" t="s">
        <v>156</v>
      </c>
    </row>
    <row r="20" spans="1:12" ht="15">
      <c r="A20" s="145">
        <v>0</v>
      </c>
      <c r="B20" s="228">
        <v>237100</v>
      </c>
      <c r="C20" s="228">
        <v>370500</v>
      </c>
      <c r="D20" s="228">
        <v>512800</v>
      </c>
      <c r="E20" s="228">
        <v>673000</v>
      </c>
      <c r="F20" s="228">
        <v>857900</v>
      </c>
      <c r="G20" s="228">
        <v>1817000</v>
      </c>
      <c r="I20">
        <v>0</v>
      </c>
      <c r="J20" s="16">
        <v>500000</v>
      </c>
      <c r="K20" s="16">
        <v>770000</v>
      </c>
      <c r="L20" s="16">
        <v>1155000</v>
      </c>
    </row>
    <row r="21" spans="1:12" ht="15">
      <c r="A21" s="145">
        <v>0</v>
      </c>
      <c r="B21" s="229">
        <v>42678</v>
      </c>
      <c r="C21" s="229">
        <v>77362</v>
      </c>
      <c r="D21" s="229">
        <v>121475</v>
      </c>
      <c r="E21" s="229">
        <v>179147</v>
      </c>
      <c r="F21" s="229">
        <v>251258</v>
      </c>
      <c r="G21" s="229">
        <v>644489</v>
      </c>
      <c r="I21">
        <v>0</v>
      </c>
      <c r="J21" s="16">
        <v>0</v>
      </c>
      <c r="K21" s="16">
        <v>36000</v>
      </c>
      <c r="L21" s="16">
        <v>130500</v>
      </c>
    </row>
    <row r="22" spans="1:12" ht="15">
      <c r="A22" s="145">
        <v>0.18</v>
      </c>
      <c r="B22" s="145">
        <v>0.26</v>
      </c>
      <c r="C22" s="145">
        <v>0.31</v>
      </c>
      <c r="D22" s="145">
        <v>0.36</v>
      </c>
      <c r="E22" s="145">
        <v>0.39</v>
      </c>
      <c r="F22" s="145">
        <v>0.41</v>
      </c>
      <c r="G22" s="145">
        <v>0.45</v>
      </c>
      <c r="I22">
        <v>0</v>
      </c>
      <c r="J22">
        <v>0.18</v>
      </c>
      <c r="K22">
        <v>0.27</v>
      </c>
      <c r="L22">
        <v>0.36</v>
      </c>
    </row>
    <row r="24" ht="15">
      <c r="A24" t="s">
        <v>56</v>
      </c>
    </row>
    <row r="25" spans="6:9" ht="15">
      <c r="F25" s="145"/>
      <c r="I25" t="s">
        <v>178</v>
      </c>
    </row>
    <row r="26" spans="1:12" ht="15.6">
      <c r="A26" s="8" t="s">
        <v>27</v>
      </c>
      <c r="B26" s="8" t="s">
        <v>28</v>
      </c>
      <c r="C26" s="8" t="s">
        <v>29</v>
      </c>
      <c r="D26" s="8" t="s">
        <v>30</v>
      </c>
      <c r="F26" s="129"/>
      <c r="G26" s="129"/>
      <c r="I26">
        <v>0</v>
      </c>
      <c r="J26" s="16">
        <v>25000</v>
      </c>
      <c r="K26" s="16">
        <v>660000</v>
      </c>
      <c r="L26" s="16">
        <v>990000</v>
      </c>
    </row>
    <row r="27" spans="1:12" ht="15.6">
      <c r="A27" s="9">
        <v>0</v>
      </c>
      <c r="B27" s="9">
        <v>33760</v>
      </c>
      <c r="C27" s="10">
        <v>1.415</v>
      </c>
      <c r="D27" s="10">
        <v>0.438</v>
      </c>
      <c r="F27" s="129"/>
      <c r="G27" s="129"/>
      <c r="I27">
        <v>0</v>
      </c>
      <c r="J27" s="16">
        <v>0</v>
      </c>
      <c r="K27" s="16">
        <v>114300</v>
      </c>
      <c r="L27" s="16">
        <v>203400</v>
      </c>
    </row>
    <row r="28" spans="1:12" ht="15.6">
      <c r="A28" s="9">
        <v>100000</v>
      </c>
      <c r="B28" s="9">
        <v>60329</v>
      </c>
      <c r="C28" s="10">
        <v>1.58</v>
      </c>
      <c r="D28" s="10">
        <v>0.548</v>
      </c>
      <c r="G28" s="129"/>
      <c r="I28">
        <v>0</v>
      </c>
      <c r="J28">
        <v>0.18</v>
      </c>
      <c r="K28">
        <v>0.27</v>
      </c>
      <c r="L28">
        <v>0.36</v>
      </c>
    </row>
    <row r="29" spans="1:7" ht="15.6">
      <c r="A29" s="9">
        <v>200000</v>
      </c>
      <c r="B29" s="9">
        <v>86958</v>
      </c>
      <c r="C29" s="10">
        <v>1.717</v>
      </c>
      <c r="D29" s="10">
        <v>0.604</v>
      </c>
      <c r="F29" s="129"/>
      <c r="G29" s="129"/>
    </row>
    <row r="30" spans="1:10" ht="15.6">
      <c r="A30" s="9">
        <v>300000</v>
      </c>
      <c r="B30" s="9">
        <v>110554</v>
      </c>
      <c r="C30" s="10">
        <v>1.846</v>
      </c>
      <c r="D30" s="10">
        <v>0.659</v>
      </c>
      <c r="F30" s="129"/>
      <c r="G30" s="129"/>
      <c r="J30" s="129"/>
    </row>
    <row r="31" spans="1:7" ht="15.6">
      <c r="A31" s="9">
        <v>400000</v>
      </c>
      <c r="B31" s="9">
        <v>134150</v>
      </c>
      <c r="C31" s="10">
        <v>1.976</v>
      </c>
      <c r="D31" s="10">
        <v>0.775</v>
      </c>
      <c r="G31" s="109"/>
    </row>
    <row r="32" spans="1:4" ht="15.6">
      <c r="A32" s="9">
        <v>500000</v>
      </c>
      <c r="B32" s="9">
        <v>158856</v>
      </c>
      <c r="C32" s="10">
        <v>2.266</v>
      </c>
      <c r="D32" s="10">
        <v>0.91</v>
      </c>
    </row>
    <row r="33" spans="1:7" ht="15.6">
      <c r="A33" s="9">
        <v>600000</v>
      </c>
      <c r="B33" s="9">
        <v>183611</v>
      </c>
      <c r="C33" s="10">
        <v>2.305</v>
      </c>
      <c r="D33" s="10">
        <v>1.021</v>
      </c>
      <c r="G33" s="109"/>
    </row>
    <row r="34" spans="1:4" ht="15.6">
      <c r="A34" s="9">
        <v>700000</v>
      </c>
      <c r="B34" s="9">
        <v>209685</v>
      </c>
      <c r="C34" s="10">
        <v>2.343</v>
      </c>
      <c r="D34" s="10">
        <v>1.131</v>
      </c>
    </row>
    <row r="35" spans="1:4" ht="15.6">
      <c r="A35" s="9">
        <v>800000</v>
      </c>
      <c r="B35" s="9">
        <v>209685</v>
      </c>
      <c r="C35" s="10">
        <v>2.343</v>
      </c>
      <c r="D35" s="10">
        <v>1.131</v>
      </c>
    </row>
    <row r="36" spans="1:4" ht="15.6">
      <c r="A36" s="9">
        <v>800000</v>
      </c>
      <c r="B36" s="9">
        <v>209685</v>
      </c>
      <c r="C36" s="10">
        <v>2.343</v>
      </c>
      <c r="D36" s="10">
        <v>1.131</v>
      </c>
    </row>
    <row r="37" spans="1:4" ht="15.6">
      <c r="A37" s="9">
        <v>800000</v>
      </c>
      <c r="B37" s="9">
        <v>209685</v>
      </c>
      <c r="C37" s="10">
        <v>2.343</v>
      </c>
      <c r="D37" s="10">
        <v>1.131</v>
      </c>
    </row>
    <row r="38" spans="1:4" ht="15.6">
      <c r="A38" s="9">
        <v>800000</v>
      </c>
      <c r="B38" s="9">
        <v>209685</v>
      </c>
      <c r="C38" s="10">
        <v>2.343</v>
      </c>
      <c r="D38" s="10">
        <v>1.131</v>
      </c>
    </row>
    <row r="39" spans="1:4" ht="15.6">
      <c r="A39" s="9">
        <v>800000</v>
      </c>
      <c r="B39" s="9">
        <v>209685</v>
      </c>
      <c r="C39" s="10">
        <v>2.343</v>
      </c>
      <c r="D39" s="10">
        <v>1.131</v>
      </c>
    </row>
    <row r="40" spans="1:4" ht="15.6">
      <c r="A40" s="9">
        <v>800000</v>
      </c>
      <c r="B40" s="9">
        <v>209685</v>
      </c>
      <c r="C40" s="10">
        <v>2.343</v>
      </c>
      <c r="D40" s="10">
        <v>1.131</v>
      </c>
    </row>
    <row r="41" spans="1:4" ht="15.6">
      <c r="A41" s="9">
        <v>800000</v>
      </c>
      <c r="B41" s="9">
        <v>209685</v>
      </c>
      <c r="C41" s="10">
        <v>2.343</v>
      </c>
      <c r="D41" s="10">
        <v>1.131</v>
      </c>
    </row>
    <row r="42" spans="1:4" ht="15.6">
      <c r="A42" s="9">
        <v>800000</v>
      </c>
      <c r="B42" s="9">
        <v>209685</v>
      </c>
      <c r="C42" s="10">
        <v>2.343</v>
      </c>
      <c r="D42" s="10">
        <v>1.131</v>
      </c>
    </row>
    <row r="43" spans="1:4" ht="15.6">
      <c r="A43" s="9">
        <v>800000</v>
      </c>
      <c r="B43" s="9">
        <v>209685</v>
      </c>
      <c r="C43" s="10">
        <v>2.343</v>
      </c>
      <c r="D43" s="10">
        <v>1.131</v>
      </c>
    </row>
    <row r="44" spans="1:4" ht="15.6">
      <c r="A44" s="9">
        <v>800000</v>
      </c>
      <c r="B44" s="9">
        <v>209685</v>
      </c>
      <c r="C44" s="10">
        <v>2.343</v>
      </c>
      <c r="D44" s="10">
        <v>1.131</v>
      </c>
    </row>
    <row r="45" spans="1:4" ht="15.6">
      <c r="A45" s="9">
        <v>800000</v>
      </c>
      <c r="B45" s="9">
        <v>209685</v>
      </c>
      <c r="C45" s="10">
        <v>2.343</v>
      </c>
      <c r="D45" s="10">
        <v>1.131</v>
      </c>
    </row>
    <row r="46" spans="1:4" ht="15.6">
      <c r="A46" s="9"/>
      <c r="B46" s="11"/>
      <c r="C46" s="10"/>
      <c r="D46" s="10"/>
    </row>
    <row r="48" spans="1:6" ht="15">
      <c r="A48" t="s">
        <v>222</v>
      </c>
      <c r="E48" s="16"/>
      <c r="F48" s="16"/>
    </row>
    <row r="49" spans="1:6" ht="15">
      <c r="A49" t="s">
        <v>223</v>
      </c>
      <c r="E49" s="16" t="e">
        <f>+Taxcalc!H71</f>
        <v>#NUM!</v>
      </c>
      <c r="F49" s="16"/>
    </row>
    <row r="50" spans="1:6" ht="15">
      <c r="A50" t="str">
        <f>+Taxcalc!C73</f>
        <v>SITE / PAYE</v>
      </c>
      <c r="E50" s="16">
        <f>+Taxcalc!H73</f>
        <v>0</v>
      </c>
      <c r="F50" s="16"/>
    </row>
    <row r="51" spans="1:6" ht="15">
      <c r="A51" t="str">
        <f>+Taxcalc!B67</f>
        <v>- Medical Aid Credit  - 6(A)</v>
      </c>
      <c r="E51" s="16" t="e">
        <f>+Taxcalc!H67</f>
        <v>#NUM!</v>
      </c>
      <c r="F51" s="16"/>
    </row>
    <row r="52" spans="1:6" ht="15">
      <c r="A52" t="str">
        <f>+Taxcalc!B68</f>
        <v>- Medical Aid Credit - 6(B)</v>
      </c>
      <c r="E52" s="16" t="e">
        <f>+Taxcalc!H68</f>
        <v>#NUM!</v>
      </c>
      <c r="F52" s="16"/>
    </row>
    <row r="53" spans="1:6" ht="15">
      <c r="A53" t="str">
        <f>+Taxcalc!C78</f>
        <v>PROVISIONAL PAYMENTS</v>
      </c>
      <c r="E53" s="16">
        <f>+Taxcalc!H78</f>
        <v>0</v>
      </c>
      <c r="F53" s="16"/>
    </row>
    <row r="54" spans="5:6" ht="15.6" thickBot="1">
      <c r="E54" s="140" t="e">
        <f>SUM(E49:E53)</f>
        <v>#NUM!</v>
      </c>
      <c r="F54" s="16"/>
    </row>
    <row r="55" spans="5:6" ht="15.6" thickTop="1">
      <c r="E55" s="16"/>
      <c r="F55" s="16"/>
    </row>
    <row r="56" spans="1:6" ht="15">
      <c r="A56" t="s">
        <v>224</v>
      </c>
      <c r="E56" s="16">
        <f>-Dividends!G60</f>
        <v>0</v>
      </c>
      <c r="F56" s="16"/>
    </row>
    <row r="57" spans="1:6" ht="15">
      <c r="A57" t="s">
        <v>225</v>
      </c>
      <c r="E57" s="16">
        <f>-Dividends!G46</f>
        <v>0</v>
      </c>
      <c r="F57" s="16"/>
    </row>
    <row r="58" spans="1:6" ht="15">
      <c r="A58" t="str">
        <f>+Taxcalc!C77</f>
        <v>TAX ON FOREIGN DIVIDENDS AND INTEREST</v>
      </c>
      <c r="E58" s="16" t="e">
        <f>IF(E54&lt;0,0,IF(E54&gt;-E56-E57,+E56+E57,-E54))</f>
        <v>#NUM!</v>
      </c>
      <c r="F58" s="16"/>
    </row>
    <row r="59" spans="5:6" ht="15">
      <c r="E59" s="16"/>
      <c r="F59" s="16"/>
    </row>
    <row r="60" spans="1:6" ht="15">
      <c r="A60" t="s">
        <v>297</v>
      </c>
      <c r="E60" s="38">
        <v>0.25</v>
      </c>
      <c r="F60" s="16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E16"/>
  <sheetViews>
    <sheetView workbookViewId="0" topLeftCell="A1">
      <selection activeCell="D13" sqref="D13"/>
    </sheetView>
  </sheetViews>
  <sheetFormatPr defaultColWidth="8.88671875" defaultRowHeight="15"/>
  <sheetData>
    <row r="2" spans="2:5" ht="15">
      <c r="B2" s="34"/>
      <c r="C2" s="167"/>
      <c r="D2" s="167"/>
      <c r="E2" s="22"/>
    </row>
    <row r="3" spans="2:5" ht="15">
      <c r="B3" s="165" t="s">
        <v>164</v>
      </c>
      <c r="C3" s="168" t="s">
        <v>234</v>
      </c>
      <c r="D3" s="168" t="s">
        <v>235</v>
      </c>
      <c r="E3" s="22"/>
    </row>
    <row r="4" spans="2:5" ht="15">
      <c r="B4" s="162">
        <v>42186</v>
      </c>
      <c r="C4" s="169">
        <v>34199.82</v>
      </c>
      <c r="D4" s="169">
        <v>13337.93</v>
      </c>
      <c r="E4" s="22"/>
    </row>
    <row r="5" spans="2:5" ht="15">
      <c r="B5" s="162">
        <v>42217</v>
      </c>
      <c r="C5" s="169">
        <v>88406.55</v>
      </c>
      <c r="D5" s="169"/>
      <c r="E5" s="22"/>
    </row>
    <row r="6" spans="2:5" ht="15">
      <c r="B6" s="162">
        <v>42248</v>
      </c>
      <c r="C6" s="169">
        <v>60744.27</v>
      </c>
      <c r="D6" s="169"/>
      <c r="E6" s="22"/>
    </row>
    <row r="7" spans="2:5" ht="15">
      <c r="B7" s="162">
        <v>42278</v>
      </c>
      <c r="C7" s="169">
        <v>74965.17</v>
      </c>
      <c r="D7" s="169">
        <v>19734.84</v>
      </c>
      <c r="E7" s="22"/>
    </row>
    <row r="8" spans="2:5" ht="15">
      <c r="B8" s="163">
        <v>42309</v>
      </c>
      <c r="C8" s="169">
        <v>81157.57</v>
      </c>
      <c r="D8" s="169">
        <v>20289.39</v>
      </c>
      <c r="E8" s="22"/>
    </row>
    <row r="9" spans="2:5" ht="15">
      <c r="B9" s="162">
        <v>42339</v>
      </c>
      <c r="C9" s="169">
        <v>82223.41</v>
      </c>
      <c r="D9" s="169">
        <v>20555.85</v>
      </c>
      <c r="E9" s="22"/>
    </row>
    <row r="10" spans="2:5" ht="15">
      <c r="B10" s="163">
        <v>42370</v>
      </c>
      <c r="C10" s="169">
        <v>48714.21</v>
      </c>
      <c r="D10" s="169">
        <v>12178.55</v>
      </c>
      <c r="E10" s="22"/>
    </row>
    <row r="11" spans="2:5" ht="15">
      <c r="B11" s="162">
        <v>42401</v>
      </c>
      <c r="C11" s="169">
        <v>63059.22</v>
      </c>
      <c r="D11" s="169">
        <v>15764.81</v>
      </c>
      <c r="E11" s="22"/>
    </row>
    <row r="12" spans="2:5" ht="15">
      <c r="B12" s="164"/>
      <c r="C12" s="168" t="s">
        <v>234</v>
      </c>
      <c r="D12" s="168" t="s">
        <v>238</v>
      </c>
      <c r="E12" s="22"/>
    </row>
    <row r="13" spans="2:5" ht="15">
      <c r="B13" s="161" t="s">
        <v>237</v>
      </c>
      <c r="C13" s="169">
        <f>SUM(C4:C12)</f>
        <v>533470.2200000001</v>
      </c>
      <c r="D13" s="169">
        <f>SUM(D4:D12)</f>
        <v>101861.37000000001</v>
      </c>
      <c r="E13" s="22"/>
    </row>
    <row r="14" spans="2:5" ht="15">
      <c r="B14" s="161" t="s">
        <v>236</v>
      </c>
      <c r="C14" s="169">
        <v>394683</v>
      </c>
      <c r="D14" s="169">
        <v>98670.67</v>
      </c>
      <c r="E14" s="22"/>
    </row>
    <row r="15" spans="2:5" ht="15">
      <c r="B15" s="161" t="s">
        <v>239</v>
      </c>
      <c r="C15" s="169">
        <f>C13-C14</f>
        <v>138787.2200000001</v>
      </c>
      <c r="D15" s="169">
        <f>D13-D14</f>
        <v>3190.7000000000116</v>
      </c>
      <c r="E15" s="22"/>
    </row>
    <row r="16" spans="2:5" ht="15">
      <c r="B16" s="22"/>
      <c r="C16" s="166"/>
      <c r="D16" s="166"/>
      <c r="E16" s="2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50"/>
  <sheetViews>
    <sheetView tabSelected="1" zoomScale="75" zoomScaleNormal="75" workbookViewId="0" topLeftCell="A1">
      <selection activeCell="C7" sqref="C5:C7"/>
    </sheetView>
  </sheetViews>
  <sheetFormatPr defaultColWidth="8.88671875" defaultRowHeight="15"/>
  <cols>
    <col min="1" max="1" width="2.21484375" style="0" customWidth="1"/>
    <col min="2" max="2" width="28.88671875" style="0" customWidth="1"/>
    <col min="3" max="3" width="12.6640625" style="0" bestFit="1" customWidth="1"/>
    <col min="4" max="4" width="13.99609375" style="0" bestFit="1" customWidth="1"/>
    <col min="5" max="5" width="1.77734375" style="0" customWidth="1"/>
    <col min="6" max="6" width="12.5546875" style="0" customWidth="1"/>
    <col min="7" max="7" width="13.10546875" style="0" customWidth="1"/>
    <col min="8" max="8" width="13.77734375" style="0" customWidth="1"/>
    <col min="9" max="9" width="11.3359375" style="113" bestFit="1" customWidth="1"/>
    <col min="10" max="10" width="11.99609375" style="0" bestFit="1" customWidth="1"/>
  </cols>
  <sheetData>
    <row r="1" ht="15">
      <c r="Y1" t="s">
        <v>200</v>
      </c>
    </row>
    <row r="2" spans="2:25" ht="15.6">
      <c r="B2" s="17" t="s">
        <v>91</v>
      </c>
      <c r="Y2" t="s">
        <v>201</v>
      </c>
    </row>
    <row r="3" spans="2:3" ht="15">
      <c r="B3" t="s">
        <v>51</v>
      </c>
      <c r="C3" s="74"/>
    </row>
    <row r="4" spans="2:3" ht="15">
      <c r="B4" t="s">
        <v>52</v>
      </c>
      <c r="C4" s="75"/>
    </row>
    <row r="5" spans="2:4" ht="15">
      <c r="B5" t="s">
        <v>66</v>
      </c>
      <c r="C5" s="76"/>
      <c r="D5" s="83"/>
    </row>
    <row r="6" spans="2:4" ht="15">
      <c r="B6" t="s">
        <v>67</v>
      </c>
      <c r="C6" s="77"/>
      <c r="D6" s="83"/>
    </row>
    <row r="7" spans="2:4" ht="15">
      <c r="B7" t="s">
        <v>68</v>
      </c>
      <c r="C7" s="77"/>
      <c r="D7" s="83"/>
    </row>
    <row r="8" spans="3:4" ht="15">
      <c r="C8" s="233" t="e">
        <f>DATE(C7,C6,C5)</f>
        <v>#NUM!</v>
      </c>
      <c r="D8" s="233"/>
    </row>
    <row r="9" spans="2:4" ht="15">
      <c r="B9" t="s">
        <v>53</v>
      </c>
      <c r="C9" s="84" t="e">
        <f>ROUNDDOWN((Refernce!D4-C8)/365,0)</f>
        <v>#NUM!</v>
      </c>
      <c r="D9" s="83"/>
    </row>
    <row r="10" spans="2:4" ht="15">
      <c r="B10" t="s">
        <v>72</v>
      </c>
      <c r="C10" s="92">
        <v>3535</v>
      </c>
      <c r="D10" s="83"/>
    </row>
    <row r="11" spans="3:4" ht="15">
      <c r="C11" s="85"/>
      <c r="D11" s="83"/>
    </row>
    <row r="12" ht="15.6">
      <c r="B12" s="17" t="s">
        <v>104</v>
      </c>
    </row>
    <row r="13" spans="2:7" ht="15">
      <c r="B13" s="86" t="s">
        <v>18</v>
      </c>
      <c r="D13" s="87" t="s">
        <v>109</v>
      </c>
      <c r="F13" s="87" t="s">
        <v>110</v>
      </c>
      <c r="G13" s="87" t="s">
        <v>111</v>
      </c>
    </row>
    <row r="14" spans="2:4" ht="15">
      <c r="B14" t="s">
        <v>168</v>
      </c>
      <c r="D14" s="93"/>
    </row>
    <row r="15" spans="2:4" ht="15">
      <c r="B15" t="s">
        <v>144</v>
      </c>
      <c r="D15" s="93"/>
    </row>
    <row r="16" spans="2:4" ht="15">
      <c r="B16" t="s">
        <v>79</v>
      </c>
      <c r="D16" s="93"/>
    </row>
    <row r="17" spans="2:4" ht="15">
      <c r="B17" t="s">
        <v>145</v>
      </c>
      <c r="D17" s="222"/>
    </row>
    <row r="18" spans="2:4" ht="15">
      <c r="B18" t="s">
        <v>82</v>
      </c>
      <c r="D18" s="93"/>
    </row>
    <row r="19" spans="2:4" ht="15">
      <c r="B19" t="s">
        <v>83</v>
      </c>
      <c r="D19" s="93"/>
    </row>
    <row r="20" spans="2:4" ht="15">
      <c r="B20" s="88" t="s">
        <v>105</v>
      </c>
      <c r="C20" s="89">
        <f>+Refernce!$D$4-364</f>
        <v>44621</v>
      </c>
      <c r="D20" s="94"/>
    </row>
    <row r="21" spans="2:4" ht="15">
      <c r="B21" s="88" t="s">
        <v>106</v>
      </c>
      <c r="C21" s="89">
        <v>43890</v>
      </c>
      <c r="D21" s="94"/>
    </row>
    <row r="22" spans="2:10" ht="15">
      <c r="B22" s="88" t="s">
        <v>108</v>
      </c>
      <c r="C22" s="89"/>
      <c r="D22" s="110">
        <f>+D21-D20</f>
        <v>0</v>
      </c>
      <c r="J22" s="113"/>
    </row>
    <row r="23" spans="2:10" ht="15">
      <c r="B23" s="88" t="s">
        <v>107</v>
      </c>
      <c r="D23" s="93"/>
      <c r="F23" s="88">
        <f>+D23</f>
        <v>0</v>
      </c>
      <c r="G23" s="112">
        <f>+D22-F23</f>
        <v>0</v>
      </c>
      <c r="J23" s="113"/>
    </row>
    <row r="24" spans="2:10" ht="15">
      <c r="B24" s="88" t="s">
        <v>112</v>
      </c>
      <c r="D24" s="93">
        <v>365</v>
      </c>
      <c r="J24" s="113"/>
    </row>
    <row r="25" spans="2:10" ht="15">
      <c r="B25" s="88"/>
      <c r="D25" s="74"/>
      <c r="J25" s="113"/>
    </row>
    <row r="26" spans="2:4" ht="15">
      <c r="B26" s="88"/>
      <c r="D26" s="74"/>
    </row>
    <row r="27" ht="15">
      <c r="B27" s="88"/>
    </row>
    <row r="28" ht="15">
      <c r="B28" s="86" t="s">
        <v>19</v>
      </c>
    </row>
    <row r="29" spans="2:4" ht="15">
      <c r="B29" t="s">
        <v>169</v>
      </c>
      <c r="D29" s="93"/>
    </row>
    <row r="30" spans="2:4" ht="15">
      <c r="B30" t="s">
        <v>144</v>
      </c>
      <c r="D30" s="93"/>
    </row>
    <row r="31" spans="2:4" ht="15">
      <c r="B31" t="s">
        <v>79</v>
      </c>
      <c r="D31" s="93"/>
    </row>
    <row r="32" spans="2:4" ht="15">
      <c r="B32" t="s">
        <v>145</v>
      </c>
      <c r="D32" s="93"/>
    </row>
    <row r="33" spans="2:4" ht="15">
      <c r="B33" t="s">
        <v>82</v>
      </c>
      <c r="D33" s="93"/>
    </row>
    <row r="34" spans="2:4" ht="15">
      <c r="B34" t="s">
        <v>83</v>
      </c>
      <c r="D34" s="93"/>
    </row>
    <row r="35" spans="2:4" ht="15">
      <c r="B35" s="88" t="s">
        <v>105</v>
      </c>
      <c r="C35" s="89">
        <f>+Refernce!$D$4-364</f>
        <v>44621</v>
      </c>
      <c r="D35" s="93"/>
    </row>
    <row r="36" spans="2:5" ht="15">
      <c r="B36" s="88" t="s">
        <v>106</v>
      </c>
      <c r="C36" s="89">
        <f>+Refernce!$D$4</f>
        <v>44985</v>
      </c>
      <c r="D36" s="93"/>
      <c r="E36">
        <f>+D36-D35</f>
        <v>0</v>
      </c>
    </row>
    <row r="37" spans="2:4" ht="15">
      <c r="B37" s="88" t="s">
        <v>108</v>
      </c>
      <c r="C37" s="89"/>
      <c r="D37" s="90">
        <f>+D36-D35</f>
        <v>0</v>
      </c>
    </row>
    <row r="38" spans="2:7" ht="15">
      <c r="B38" s="88" t="s">
        <v>107</v>
      </c>
      <c r="D38" s="93"/>
      <c r="F38">
        <f>+D38</f>
        <v>0</v>
      </c>
      <c r="G38">
        <f>+E36-F38</f>
        <v>0</v>
      </c>
    </row>
    <row r="39" spans="2:4" ht="15">
      <c r="B39" s="88" t="s">
        <v>112</v>
      </c>
      <c r="D39" s="93">
        <f>365-D24</f>
        <v>0</v>
      </c>
    </row>
    <row r="43" spans="5:7" ht="15.6" thickBot="1">
      <c r="E43" s="91">
        <f>SUM(E20:E42)</f>
        <v>0</v>
      </c>
      <c r="F43" s="91">
        <f>SUM(F20:F42)</f>
        <v>0</v>
      </c>
      <c r="G43" s="91">
        <f>SUM(G20:G42)</f>
        <v>0</v>
      </c>
    </row>
    <row r="44" ht="15.6" thickTop="1"/>
    <row r="45" spans="2:4" ht="15.6">
      <c r="B45" s="96" t="s">
        <v>292</v>
      </c>
      <c r="D45" s="232"/>
    </row>
    <row r="46" spans="2:6" ht="15">
      <c r="B46" t="s">
        <v>293</v>
      </c>
      <c r="D46" s="232"/>
      <c r="F46" s="231">
        <f>IF('TP Info'!D46&lt;0,0,'TP Info'!D46*Refernce!E60)</f>
        <v>0</v>
      </c>
    </row>
    <row r="47" spans="2:4" ht="15">
      <c r="B47" t="s">
        <v>294</v>
      </c>
      <c r="D47" s="232"/>
    </row>
    <row r="48" spans="2:4" ht="15">
      <c r="B48" t="s">
        <v>295</v>
      </c>
      <c r="D48" s="232"/>
    </row>
    <row r="50" ht="15">
      <c r="K50" s="129"/>
    </row>
  </sheetData>
  <mergeCells count="1">
    <mergeCell ref="C8:D8"/>
  </mergeCells>
  <conditionalFormatting sqref="C9">
    <cfRule type="cellIs" priority="1" dxfId="1" operator="lessThan" stopIfTrue="1">
      <formula>65</formula>
    </cfRule>
    <cfRule type="cellIs" priority="2" dxfId="0" operator="greaterThanOrEqual" stopIfTrue="1">
      <formula>65</formula>
    </cfRule>
  </conditionalFormatting>
  <printOptions/>
  <pageMargins left="0.5" right="0.5" top="0.5" bottom="0.55" header="0.5" footer="0.5"/>
  <pageSetup fitToHeight="1" fitToWidth="1" horizontalDpi="300" verticalDpi="300" orientation="portrait" paperSize="9" scale="30" r:id="rId1"/>
  <headerFooter alignWithMargins="0">
    <oddFooter>&amp;L&amp;D&amp;C&amp;Z&amp;F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114"/>
  <sheetViews>
    <sheetView zoomScale="75" zoomScaleNormal="75" workbookViewId="0" topLeftCell="A28">
      <selection activeCell="F31" sqref="F31"/>
    </sheetView>
  </sheetViews>
  <sheetFormatPr defaultColWidth="8.88671875" defaultRowHeight="16.5" customHeight="1"/>
  <cols>
    <col min="1" max="1" width="5.6640625" style="2" customWidth="1"/>
    <col min="2" max="2" width="10.99609375" style="2" customWidth="1"/>
    <col min="3" max="3" width="11.3359375" style="2" customWidth="1"/>
    <col min="4" max="4" width="10.10546875" style="2" customWidth="1"/>
    <col min="5" max="5" width="16.99609375" style="2" bestFit="1" customWidth="1"/>
    <col min="6" max="6" width="11.99609375" style="2" customWidth="1"/>
    <col min="7" max="7" width="11.21484375" style="2" customWidth="1"/>
    <col min="8" max="8" width="3.4453125" style="2" customWidth="1"/>
    <col min="9" max="9" width="11.5546875" style="2" customWidth="1"/>
    <col min="10" max="10" width="8.88671875" style="2" customWidth="1"/>
    <col min="11" max="11" width="2.88671875" style="2" customWidth="1"/>
    <col min="12" max="16384" width="8.88671875" style="2" customWidth="1"/>
  </cols>
  <sheetData>
    <row r="2" spans="1:10" ht="16.5" customHeight="1">
      <c r="A2" s="240" t="s">
        <v>17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6.5" customHeight="1">
      <c r="A3" s="241" t="s">
        <v>74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6.5" customHeight="1">
      <c r="A4" s="241"/>
      <c r="B4" s="241"/>
      <c r="C4" s="241"/>
      <c r="D4" s="241"/>
      <c r="E4" s="241"/>
      <c r="F4" s="241"/>
      <c r="G4" s="241"/>
      <c r="H4" s="241"/>
      <c r="I4" s="241"/>
      <c r="J4" s="241"/>
    </row>
    <row r="5" spans="1:10" ht="16.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</row>
    <row r="6" spans="1:10" ht="16.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ht="16.5" customHeight="1">
      <c r="A7" s="242" t="s">
        <v>75</v>
      </c>
      <c r="B7" s="242"/>
      <c r="C7" s="242"/>
      <c r="D7" s="242"/>
      <c r="E7" s="242"/>
      <c r="F7" s="242"/>
      <c r="G7" s="242"/>
      <c r="H7" s="242"/>
      <c r="I7" s="242"/>
      <c r="J7" s="242"/>
    </row>
    <row r="8" spans="1:10" ht="16.5" customHeight="1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16.5" customHeight="1">
      <c r="A9" s="243" t="s">
        <v>76</v>
      </c>
      <c r="B9" s="245" t="s">
        <v>77</v>
      </c>
      <c r="C9" s="245" t="s">
        <v>78</v>
      </c>
      <c r="D9" s="245" t="s">
        <v>79</v>
      </c>
      <c r="E9" s="245" t="s">
        <v>80</v>
      </c>
      <c r="F9" s="247" t="s">
        <v>81</v>
      </c>
      <c r="G9" s="248"/>
      <c r="H9" s="251" t="s">
        <v>84</v>
      </c>
      <c r="I9" s="252"/>
      <c r="J9" s="245" t="s">
        <v>73</v>
      </c>
    </row>
    <row r="10" spans="1:10" ht="16.5" customHeight="1">
      <c r="A10" s="244"/>
      <c r="B10" s="246"/>
      <c r="C10" s="246"/>
      <c r="D10" s="246"/>
      <c r="E10" s="246"/>
      <c r="F10" s="50" t="s">
        <v>82</v>
      </c>
      <c r="G10" s="49" t="s">
        <v>83</v>
      </c>
      <c r="H10" s="253"/>
      <c r="I10" s="254"/>
      <c r="J10" s="246"/>
    </row>
    <row r="11" spans="1:11" ht="16.5" customHeight="1">
      <c r="A11" s="49">
        <v>1</v>
      </c>
      <c r="B11" s="65">
        <f>'TP Info'!D14</f>
        <v>0</v>
      </c>
      <c r="C11" s="65">
        <f>'TP Info'!D15</f>
        <v>0</v>
      </c>
      <c r="D11" s="65">
        <f>'TP Info'!D16</f>
        <v>0</v>
      </c>
      <c r="E11" s="65">
        <f>'TP Info'!D17</f>
        <v>0</v>
      </c>
      <c r="F11" s="68">
        <f>'TP Info'!D18</f>
        <v>0</v>
      </c>
      <c r="G11" s="69">
        <f>+'TP Info'!D19</f>
        <v>0</v>
      </c>
      <c r="H11" s="249"/>
      <c r="I11" s="250"/>
      <c r="J11" s="59">
        <v>7534</v>
      </c>
      <c r="K11" s="61" t="s">
        <v>133</v>
      </c>
    </row>
    <row r="12" spans="1:11" ht="16.5" customHeight="1">
      <c r="A12" s="49">
        <v>2</v>
      </c>
      <c r="B12" s="65">
        <f>+'TP Info'!D29</f>
        <v>0</v>
      </c>
      <c r="C12" s="65">
        <f>+'TP Info'!D30</f>
        <v>0</v>
      </c>
      <c r="D12" s="65">
        <f>+'TP Info'!D31</f>
        <v>0</v>
      </c>
      <c r="E12" s="65">
        <f>+'TP Info'!D32</f>
        <v>0</v>
      </c>
      <c r="F12" s="68">
        <f>+'TP Info'!D33</f>
        <v>0</v>
      </c>
      <c r="G12" s="69">
        <f>+'TP Info'!D34</f>
        <v>0</v>
      </c>
      <c r="H12" s="249"/>
      <c r="I12" s="250"/>
      <c r="J12" s="59">
        <v>7535</v>
      </c>
      <c r="K12" s="61" t="s">
        <v>133</v>
      </c>
    </row>
    <row r="13" spans="1:10" ht="16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6.5" customHeight="1">
      <c r="A14" s="242" t="s">
        <v>85</v>
      </c>
      <c r="B14" s="242"/>
      <c r="C14" s="242"/>
      <c r="D14" s="242"/>
      <c r="E14" s="242"/>
      <c r="F14" s="242"/>
      <c r="G14" s="242"/>
      <c r="H14" s="242"/>
      <c r="I14" s="242"/>
      <c r="J14" s="242"/>
    </row>
    <row r="15" spans="1:10" ht="16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6.5" customHeight="1">
      <c r="A16" s="47"/>
      <c r="B16" s="47"/>
      <c r="C16" s="47"/>
      <c r="D16" s="47"/>
      <c r="E16" s="47"/>
      <c r="G16" s="52" t="s">
        <v>18</v>
      </c>
      <c r="H16" s="37"/>
      <c r="I16" s="52" t="s">
        <v>19</v>
      </c>
      <c r="J16" s="47"/>
    </row>
    <row r="17" spans="1:10" ht="16.5" customHeight="1">
      <c r="A17" s="47"/>
      <c r="B17" s="47"/>
      <c r="C17" s="47"/>
      <c r="D17" s="47"/>
      <c r="E17" s="47"/>
      <c r="F17" s="47"/>
      <c r="G17" s="47"/>
      <c r="H17" s="47"/>
      <c r="I17" s="47"/>
      <c r="J17" s="245" t="s">
        <v>73</v>
      </c>
    </row>
    <row r="18" spans="1:10" ht="16.5" customHeight="1">
      <c r="A18" s="47"/>
      <c r="B18" s="47"/>
      <c r="C18" s="47"/>
      <c r="D18" s="47"/>
      <c r="E18" s="47"/>
      <c r="F18" s="47"/>
      <c r="G18" s="49" t="s">
        <v>86</v>
      </c>
      <c r="H18" s="48"/>
      <c r="I18" s="50" t="s">
        <v>86</v>
      </c>
      <c r="J18" s="246"/>
    </row>
    <row r="19" spans="1:11" ht="16.5" customHeight="1">
      <c r="A19" s="47"/>
      <c r="B19" s="255" t="s">
        <v>87</v>
      </c>
      <c r="C19" s="255"/>
      <c r="D19" s="55">
        <f>+Refernce!D4</f>
        <v>44985</v>
      </c>
      <c r="E19" s="47"/>
      <c r="F19" s="47"/>
      <c r="G19" s="66">
        <f>+'TP Info'!D21</f>
        <v>0</v>
      </c>
      <c r="H19" s="67"/>
      <c r="I19" s="66">
        <f>+'TP Info'!D36</f>
        <v>0</v>
      </c>
      <c r="J19" s="59">
        <v>7550</v>
      </c>
      <c r="K19" s="61" t="s">
        <v>133</v>
      </c>
    </row>
    <row r="20" spans="1:11" ht="16.5" customHeight="1">
      <c r="A20" s="47"/>
      <c r="B20" s="235" t="s">
        <v>88</v>
      </c>
      <c r="C20" s="235"/>
      <c r="D20" s="55">
        <f>+Refernce!D4-364</f>
        <v>44621</v>
      </c>
      <c r="E20" s="47"/>
      <c r="F20" s="47"/>
      <c r="G20" s="66">
        <f>+'TP Info'!D20</f>
        <v>0</v>
      </c>
      <c r="H20" s="67"/>
      <c r="I20" s="66">
        <f>+'TP Info'!D35</f>
        <v>0</v>
      </c>
      <c r="J20" s="59">
        <v>7551</v>
      </c>
      <c r="K20" s="61" t="s">
        <v>133</v>
      </c>
    </row>
    <row r="21" spans="1:11" ht="16.5" customHeight="1">
      <c r="A21" s="47"/>
      <c r="B21" s="58" t="s">
        <v>117</v>
      </c>
      <c r="C21" s="58"/>
      <c r="D21" s="58"/>
      <c r="E21" s="47"/>
      <c r="F21" s="47"/>
      <c r="G21" s="66">
        <f>+G19-G20</f>
        <v>0</v>
      </c>
      <c r="H21" s="67"/>
      <c r="I21" s="66">
        <f>+I19-I20</f>
        <v>0</v>
      </c>
      <c r="J21" s="59">
        <v>7552</v>
      </c>
      <c r="K21" s="61" t="s">
        <v>133</v>
      </c>
    </row>
    <row r="22" spans="1:11" ht="16.5" customHeight="1">
      <c r="A22" s="47"/>
      <c r="B22" s="2" t="s">
        <v>89</v>
      </c>
      <c r="C22" s="47"/>
      <c r="D22" s="47"/>
      <c r="E22" s="47"/>
      <c r="F22" s="47"/>
      <c r="G22" s="66">
        <f>+'TP Info'!D23</f>
        <v>0</v>
      </c>
      <c r="H22" s="67"/>
      <c r="I22" s="66">
        <f>+'TP Info'!D38</f>
        <v>0</v>
      </c>
      <c r="J22" s="59">
        <v>7553</v>
      </c>
      <c r="K22" s="61" t="s">
        <v>133</v>
      </c>
    </row>
    <row r="23" spans="1:11" ht="15.75" customHeight="1">
      <c r="A23" s="47"/>
      <c r="B23" s="235" t="s">
        <v>20</v>
      </c>
      <c r="C23" s="235"/>
      <c r="D23" s="235"/>
      <c r="E23" s="47"/>
      <c r="F23" s="47"/>
      <c r="G23" s="66">
        <f>+G21-G22</f>
        <v>0</v>
      </c>
      <c r="H23" s="67"/>
      <c r="I23" s="66">
        <f>+I21-I22</f>
        <v>0</v>
      </c>
      <c r="J23" s="59">
        <v>7554</v>
      </c>
      <c r="K23" s="61" t="s">
        <v>133</v>
      </c>
    </row>
    <row r="24" spans="1:10" ht="16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6.5" customHeight="1">
      <c r="A25" s="47"/>
      <c r="B25" s="234" t="s">
        <v>98</v>
      </c>
      <c r="C25" s="234"/>
      <c r="D25" s="234"/>
      <c r="E25" s="234"/>
      <c r="F25" s="234"/>
      <c r="G25" s="234"/>
      <c r="H25" s="234"/>
      <c r="I25" s="234"/>
      <c r="J25" s="234"/>
    </row>
    <row r="26" spans="1:10" ht="16.5" customHeight="1">
      <c r="A26" s="47"/>
      <c r="B26" s="234"/>
      <c r="C26" s="234"/>
      <c r="D26" s="234"/>
      <c r="E26" s="234"/>
      <c r="F26" s="234"/>
      <c r="G26" s="234"/>
      <c r="H26" s="234"/>
      <c r="I26" s="234"/>
      <c r="J26" s="234"/>
    </row>
    <row r="27" spans="1:10" ht="16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6.5" customHeight="1">
      <c r="A28" s="242" t="s">
        <v>99</v>
      </c>
      <c r="B28" s="242"/>
      <c r="C28" s="242"/>
      <c r="D28" s="242"/>
      <c r="E28" s="242"/>
      <c r="F28" s="242"/>
      <c r="G28" s="242"/>
      <c r="H28" s="242"/>
      <c r="I28" s="242"/>
      <c r="J28" s="242"/>
    </row>
    <row r="29" spans="1:14" ht="16.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N29" s="3"/>
    </row>
    <row r="30" spans="1:10" ht="16.5" customHeight="1">
      <c r="A30" s="47"/>
      <c r="B30" s="47"/>
      <c r="C30" s="47"/>
      <c r="D30" s="47"/>
      <c r="E30" s="47"/>
      <c r="F30" s="47"/>
      <c r="G30" s="52" t="s">
        <v>18</v>
      </c>
      <c r="H30" s="37"/>
      <c r="I30" s="52" t="s">
        <v>19</v>
      </c>
      <c r="J30" s="47"/>
    </row>
    <row r="31" spans="1:10" ht="16.5" customHeight="1">
      <c r="A31" s="47"/>
      <c r="B31" s="235" t="s">
        <v>100</v>
      </c>
      <c r="C31" s="57" t="s">
        <v>101</v>
      </c>
      <c r="D31" s="56" t="s">
        <v>103</v>
      </c>
      <c r="E31" s="78">
        <f>VLOOKUP($E11,Refernce!$A$27:$D$46,2)</f>
        <v>33760</v>
      </c>
      <c r="F31" s="122">
        <f>+'TP Info'!D24</f>
        <v>365</v>
      </c>
      <c r="G31" s="82">
        <f>(E31/IF(E32=0,1,E32)*(F31/F32))</f>
        <v>33760</v>
      </c>
      <c r="H31" s="53"/>
      <c r="I31" s="53"/>
      <c r="J31" s="47"/>
    </row>
    <row r="32" spans="1:10" ht="16.5" customHeight="1">
      <c r="A32" s="47"/>
      <c r="B32" s="235"/>
      <c r="C32" s="48" t="s">
        <v>102</v>
      </c>
      <c r="D32" s="48">
        <v>365</v>
      </c>
      <c r="E32" s="79">
        <f>+G21</f>
        <v>0</v>
      </c>
      <c r="F32" s="80">
        <v>365</v>
      </c>
      <c r="G32" s="53"/>
      <c r="H32" s="53"/>
      <c r="I32" s="53"/>
      <c r="J32" s="47"/>
    </row>
    <row r="33" spans="1:10" ht="16.5" customHeight="1">
      <c r="A33" s="47"/>
      <c r="B33" s="47"/>
      <c r="C33" s="47"/>
      <c r="D33" s="47"/>
      <c r="E33" s="67"/>
      <c r="F33" s="67"/>
      <c r="G33" s="53"/>
      <c r="H33" s="53"/>
      <c r="I33" s="53"/>
      <c r="J33" s="47"/>
    </row>
    <row r="34" spans="1:10" ht="16.5" customHeight="1">
      <c r="A34" s="47"/>
      <c r="B34" s="47"/>
      <c r="C34" s="47"/>
      <c r="D34" s="47"/>
      <c r="E34" s="78">
        <f>IF(E12=0,0,VLOOKUP($E12,Refernce!$A$24:$D$43,2))</f>
        <v>0</v>
      </c>
      <c r="F34" s="81">
        <f>+'TP Info'!D39</f>
        <v>0</v>
      </c>
      <c r="G34" s="53"/>
      <c r="H34" s="53"/>
      <c r="I34" s="51">
        <f>(E34/IF(E35=0,1,E35)*(F34/F35))</f>
        <v>0</v>
      </c>
      <c r="J34" s="47"/>
    </row>
    <row r="35" spans="1:10" ht="16.5" customHeight="1">
      <c r="A35" s="47"/>
      <c r="B35" s="47"/>
      <c r="C35" s="47"/>
      <c r="D35" s="47"/>
      <c r="E35" s="79">
        <f>+I21</f>
        <v>0</v>
      </c>
      <c r="F35" s="80">
        <v>365</v>
      </c>
      <c r="G35" s="53"/>
      <c r="H35" s="53"/>
      <c r="I35" s="53"/>
      <c r="J35" s="47"/>
    </row>
    <row r="36" spans="1:10" ht="16.5" customHeight="1">
      <c r="A36" s="47"/>
      <c r="B36" s="47"/>
      <c r="C36" s="47"/>
      <c r="D36" s="47"/>
      <c r="E36" s="47"/>
      <c r="F36" s="47"/>
      <c r="G36" s="53"/>
      <c r="H36" s="53"/>
      <c r="I36" s="53"/>
      <c r="J36" s="47"/>
    </row>
    <row r="37" spans="1:10" ht="16.5" customHeight="1">
      <c r="A37" s="47"/>
      <c r="B37" s="47" t="s">
        <v>113</v>
      </c>
      <c r="C37" s="47"/>
      <c r="D37" s="47"/>
      <c r="E37" s="47"/>
      <c r="F37" s="47"/>
      <c r="G37" s="60">
        <f>VLOOKUP($E11,Refernce!$A$27:$D$46,3)</f>
        <v>1.415</v>
      </c>
      <c r="H37" s="53"/>
      <c r="I37" s="60">
        <f>VLOOKUP($E12,Refernce!$A$27:$D$46,3)</f>
        <v>1.415</v>
      </c>
      <c r="J37" s="47"/>
    </row>
    <row r="38" spans="1:10" ht="16.5" customHeight="1">
      <c r="A38" s="47"/>
      <c r="B38" s="235" t="s">
        <v>114</v>
      </c>
      <c r="C38" s="235"/>
      <c r="D38" s="47"/>
      <c r="E38" s="47"/>
      <c r="F38" s="47"/>
      <c r="G38" s="60">
        <f>VLOOKUP($E11,Refernce!$A$27:$D$46,4)</f>
        <v>0.438</v>
      </c>
      <c r="H38" s="53"/>
      <c r="I38" s="60">
        <f>VLOOKUP($E12,Refernce!$A$27:$D$46,4)</f>
        <v>0.438</v>
      </c>
      <c r="J38" s="47"/>
    </row>
    <row r="39" spans="1:10" ht="16.5" customHeight="1">
      <c r="A39" s="47"/>
      <c r="B39" s="47"/>
      <c r="C39" s="47"/>
      <c r="D39" s="235" t="s">
        <v>115</v>
      </c>
      <c r="E39" s="235"/>
      <c r="F39" s="235"/>
      <c r="G39" s="72">
        <f>SUM(G31:G38)</f>
        <v>33761.853</v>
      </c>
      <c r="H39" s="53"/>
      <c r="I39" s="51">
        <f>SUM(I31:I38)</f>
        <v>1.853</v>
      </c>
      <c r="J39" s="47"/>
    </row>
    <row r="40" spans="1:10" ht="16.5" customHeight="1">
      <c r="A40" s="47"/>
      <c r="B40" s="47"/>
      <c r="C40" s="47"/>
      <c r="D40" s="47"/>
      <c r="E40" s="47"/>
      <c r="F40" s="47"/>
      <c r="G40" s="53"/>
      <c r="H40" s="53"/>
      <c r="I40" s="53"/>
      <c r="J40" s="47"/>
    </row>
    <row r="41" spans="1:10" ht="16.5" customHeight="1">
      <c r="A41" s="47"/>
      <c r="B41" s="235" t="s">
        <v>116</v>
      </c>
      <c r="C41" s="235"/>
      <c r="D41" s="51">
        <f>+G23</f>
        <v>0</v>
      </c>
      <c r="E41" s="54" t="s">
        <v>118</v>
      </c>
      <c r="F41" s="73">
        <f>+G39</f>
        <v>33761.853</v>
      </c>
      <c r="G41" s="66">
        <f>+F41*D41</f>
        <v>0</v>
      </c>
      <c r="H41" s="53"/>
      <c r="I41" s="53"/>
      <c r="J41" s="47"/>
    </row>
    <row r="42" spans="1:10" ht="16.5" customHeight="1">
      <c r="A42" s="47"/>
      <c r="B42" s="235" t="s">
        <v>116</v>
      </c>
      <c r="C42" s="235"/>
      <c r="D42" s="51">
        <f>+I23</f>
        <v>0</v>
      </c>
      <c r="E42" s="54" t="s">
        <v>118</v>
      </c>
      <c r="F42" s="51">
        <f>+I39</f>
        <v>1.853</v>
      </c>
      <c r="G42" s="53"/>
      <c r="H42" s="53"/>
      <c r="I42" s="51">
        <f>+F42*D42</f>
        <v>0</v>
      </c>
      <c r="J42" s="47"/>
    </row>
    <row r="43" spans="1:10" ht="16.5" customHeight="1">
      <c r="A43" s="47"/>
      <c r="B43" s="47"/>
      <c r="C43" s="47"/>
      <c r="D43" s="47"/>
      <c r="E43" s="47"/>
      <c r="F43" s="47"/>
      <c r="G43" s="53"/>
      <c r="H43" s="53"/>
      <c r="I43" s="53"/>
      <c r="J43" s="47"/>
    </row>
    <row r="44" spans="1:10" ht="16.5" customHeight="1" thickBot="1">
      <c r="A44" s="47"/>
      <c r="B44" s="234" t="s">
        <v>119</v>
      </c>
      <c r="C44" s="234"/>
      <c r="D44" s="234"/>
      <c r="E44" s="234"/>
      <c r="F44" s="234"/>
      <c r="G44" s="47"/>
      <c r="H44" s="47"/>
      <c r="I44" s="47"/>
      <c r="J44" s="47"/>
    </row>
    <row r="45" spans="1:10" ht="16.5" customHeight="1" thickBot="1">
      <c r="A45" s="47"/>
      <c r="B45" s="234"/>
      <c r="C45" s="234"/>
      <c r="D45" s="234"/>
      <c r="E45" s="234"/>
      <c r="F45" s="234"/>
      <c r="G45" s="47"/>
      <c r="I45" s="70">
        <f>+I42+G41</f>
        <v>0</v>
      </c>
      <c r="J45" s="47"/>
    </row>
    <row r="46" spans="1:10" ht="16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6.5" customHeight="1">
      <c r="A47" s="239" t="s">
        <v>120</v>
      </c>
      <c r="B47" s="239"/>
      <c r="C47" s="239"/>
      <c r="D47" s="239"/>
      <c r="E47" s="239"/>
      <c r="F47" s="239"/>
      <c r="G47" s="239"/>
      <c r="H47" s="239"/>
      <c r="I47" s="239"/>
      <c r="J47" s="47"/>
    </row>
    <row r="48" spans="1:10" ht="16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16.5" customHeight="1">
      <c r="A49" s="47"/>
      <c r="B49" s="47"/>
      <c r="C49" s="47"/>
      <c r="D49" s="47"/>
      <c r="E49" s="47"/>
      <c r="F49" s="47"/>
      <c r="G49" s="52" t="s">
        <v>18</v>
      </c>
      <c r="H49" s="37"/>
      <c r="I49" s="52" t="s">
        <v>19</v>
      </c>
      <c r="J49" s="47"/>
    </row>
    <row r="50" spans="1:10" ht="16.5" customHeight="1">
      <c r="A50" s="47"/>
      <c r="B50" s="47" t="s">
        <v>121</v>
      </c>
      <c r="C50" s="47"/>
      <c r="D50" s="47"/>
      <c r="E50" s="47"/>
      <c r="F50" s="47"/>
      <c r="G50" s="51"/>
      <c r="H50" s="53"/>
      <c r="I50" s="51"/>
      <c r="J50" s="47"/>
    </row>
    <row r="51" spans="1:10" ht="16.5" customHeight="1">
      <c r="A51" s="47"/>
      <c r="B51" s="235" t="s">
        <v>122</v>
      </c>
      <c r="C51" s="235"/>
      <c r="D51" s="47"/>
      <c r="E51" s="47"/>
      <c r="F51" s="47"/>
      <c r="G51" s="51"/>
      <c r="H51" s="53"/>
      <c r="I51" s="51"/>
      <c r="J51" s="47"/>
    </row>
    <row r="52" spans="1:10" ht="16.5" customHeight="1">
      <c r="A52" s="47"/>
      <c r="B52" s="235" t="s">
        <v>123</v>
      </c>
      <c r="C52" s="235"/>
      <c r="D52" s="47"/>
      <c r="E52" s="47"/>
      <c r="F52" s="47"/>
      <c r="G52" s="51"/>
      <c r="H52" s="53"/>
      <c r="I52" s="51"/>
      <c r="J52" s="47"/>
    </row>
    <row r="53" spans="1:10" ht="16.5" customHeight="1">
      <c r="A53" s="47"/>
      <c r="B53" s="235" t="s">
        <v>124</v>
      </c>
      <c r="C53" s="235"/>
      <c r="D53" s="235"/>
      <c r="E53" s="235"/>
      <c r="F53" s="47"/>
      <c r="G53" s="51"/>
      <c r="H53" s="53"/>
      <c r="I53" s="51"/>
      <c r="J53" s="47"/>
    </row>
    <row r="54" spans="1:10" ht="16.5" customHeight="1">
      <c r="A54" s="47"/>
      <c r="B54" s="235" t="s">
        <v>125</v>
      </c>
      <c r="C54" s="235"/>
      <c r="D54" s="47"/>
      <c r="E54" s="47"/>
      <c r="F54" s="47"/>
      <c r="G54" s="51"/>
      <c r="H54" s="53"/>
      <c r="I54" s="51"/>
      <c r="J54" s="47"/>
    </row>
    <row r="55" spans="1:10" ht="16.5" customHeight="1">
      <c r="A55" s="47"/>
      <c r="B55" s="235" t="s">
        <v>126</v>
      </c>
      <c r="C55" s="235"/>
      <c r="D55" s="47"/>
      <c r="E55" s="47"/>
      <c r="F55" s="47"/>
      <c r="G55" s="51"/>
      <c r="H55" s="53"/>
      <c r="I55" s="51"/>
      <c r="J55" s="47"/>
    </row>
    <row r="56" spans="1:10" ht="16.5" customHeight="1">
      <c r="A56" s="47"/>
      <c r="B56" s="47"/>
      <c r="C56" s="47"/>
      <c r="D56" s="238" t="s">
        <v>127</v>
      </c>
      <c r="E56" s="238"/>
      <c r="F56" s="47"/>
      <c r="G56" s="51">
        <f>SUM(G50:G55)</f>
        <v>0</v>
      </c>
      <c r="H56" s="53"/>
      <c r="I56" s="51">
        <f>SUM(I50:I55)</f>
        <v>0</v>
      </c>
      <c r="J56" s="47"/>
    </row>
    <row r="57" spans="1:10" ht="16.5" customHeight="1">
      <c r="A57" s="47"/>
      <c r="B57" s="47"/>
      <c r="C57" s="47"/>
      <c r="D57" s="56" t="s">
        <v>129</v>
      </c>
      <c r="E57" s="56" t="s">
        <v>131</v>
      </c>
      <c r="F57" s="47"/>
      <c r="G57" s="51">
        <f>G23/IF(G21=0,1,G21)*G56</f>
        <v>0</v>
      </c>
      <c r="H57" s="53"/>
      <c r="I57" s="53"/>
      <c r="J57" s="47"/>
    </row>
    <row r="58" spans="1:10" ht="16.5" customHeight="1">
      <c r="A58" s="47"/>
      <c r="B58" s="234" t="s">
        <v>128</v>
      </c>
      <c r="C58" s="234"/>
      <c r="D58" s="47" t="s">
        <v>130</v>
      </c>
      <c r="E58" s="47"/>
      <c r="F58" s="47"/>
      <c r="G58" s="53"/>
      <c r="H58" s="53"/>
      <c r="I58" s="51">
        <f>+I21/IF(I23=0,1,I23)*I56</f>
        <v>0</v>
      </c>
      <c r="J58" s="47"/>
    </row>
    <row r="59" spans="1:10" ht="16.5" customHeight="1" thickBot="1">
      <c r="A59" s="47"/>
      <c r="B59" s="47"/>
      <c r="C59" s="47"/>
      <c r="D59" s="47"/>
      <c r="E59" s="47"/>
      <c r="F59" s="47"/>
      <c r="G59" s="53"/>
      <c r="H59" s="53"/>
      <c r="I59" s="53"/>
      <c r="J59" s="47"/>
    </row>
    <row r="60" spans="1:10" ht="16.5" customHeight="1" thickBot="1">
      <c r="A60" s="47"/>
      <c r="B60" s="47"/>
      <c r="C60" s="234" t="s">
        <v>132</v>
      </c>
      <c r="D60" s="234"/>
      <c r="E60" s="234"/>
      <c r="F60" s="47"/>
      <c r="G60" s="53"/>
      <c r="H60" s="236">
        <f>+G57+I58</f>
        <v>0</v>
      </c>
      <c r="I60" s="237"/>
      <c r="J60" s="47"/>
    </row>
    <row r="61" spans="1:10" ht="16.5" customHeight="1">
      <c r="A61" s="47"/>
      <c r="B61" s="47"/>
      <c r="C61" s="47"/>
      <c r="D61" s="47"/>
      <c r="E61" s="47"/>
      <c r="F61" s="47"/>
      <c r="G61" s="53"/>
      <c r="H61" s="53"/>
      <c r="I61" s="53"/>
      <c r="J61" s="47"/>
    </row>
    <row r="62" spans="1:10" ht="16.5" customHeight="1">
      <c r="A62" s="47"/>
      <c r="B62" s="47"/>
      <c r="C62" s="47"/>
      <c r="D62" s="47"/>
      <c r="E62" s="47"/>
      <c r="F62" s="47"/>
      <c r="G62" s="53"/>
      <c r="H62" s="53"/>
      <c r="I62" s="53"/>
      <c r="J62" s="47"/>
    </row>
    <row r="64" spans="2:5" ht="16.5" customHeight="1">
      <c r="B64" s="8"/>
      <c r="C64" s="8"/>
      <c r="D64" s="8"/>
      <c r="E64" s="8"/>
    </row>
    <row r="65" spans="2:5" ht="16.5" customHeight="1">
      <c r="B65" s="9"/>
      <c r="C65" s="9"/>
      <c r="D65" s="10"/>
      <c r="E65" s="10"/>
    </row>
    <row r="66" spans="2:5" ht="16.5" customHeight="1">
      <c r="B66" s="9"/>
      <c r="C66" s="9"/>
      <c r="D66" s="10"/>
      <c r="E66" s="10"/>
    </row>
    <row r="67" spans="2:5" ht="16.5" customHeight="1">
      <c r="B67" s="9"/>
      <c r="C67" s="9"/>
      <c r="D67" s="10"/>
      <c r="E67" s="10"/>
    </row>
    <row r="68" spans="2:5" ht="16.5" customHeight="1">
      <c r="B68" s="9"/>
      <c r="C68" s="9"/>
      <c r="D68" s="10"/>
      <c r="E68" s="10"/>
    </row>
    <row r="69" spans="2:5" ht="16.5" customHeight="1">
      <c r="B69" s="9"/>
      <c r="C69" s="9"/>
      <c r="D69" s="10"/>
      <c r="E69" s="10"/>
    </row>
    <row r="70" spans="2:5" ht="16.5" customHeight="1">
      <c r="B70" s="9"/>
      <c r="C70" s="9"/>
      <c r="D70" s="10"/>
      <c r="E70" s="10"/>
    </row>
    <row r="71" spans="2:5" ht="16.5" customHeight="1">
      <c r="B71" s="9"/>
      <c r="C71" s="9"/>
      <c r="D71" s="10"/>
      <c r="E71" s="10"/>
    </row>
    <row r="72" spans="2:5" ht="16.5" customHeight="1">
      <c r="B72" s="9"/>
      <c r="C72" s="9"/>
      <c r="D72" s="10"/>
      <c r="E72" s="10"/>
    </row>
    <row r="73" spans="2:5" ht="16.5" customHeight="1">
      <c r="B73" s="9"/>
      <c r="C73" s="9"/>
      <c r="D73" s="10"/>
      <c r="E73" s="10"/>
    </row>
    <row r="74" spans="2:5" ht="16.5" customHeight="1">
      <c r="B74" s="9"/>
      <c r="C74" s="9"/>
      <c r="D74" s="10"/>
      <c r="E74" s="10"/>
    </row>
    <row r="75" spans="2:5" ht="16.5" customHeight="1">
      <c r="B75" s="9"/>
      <c r="C75" s="9"/>
      <c r="D75" s="10"/>
      <c r="E75" s="10"/>
    </row>
    <row r="76" spans="2:5" ht="16.5" customHeight="1">
      <c r="B76" s="9"/>
      <c r="C76" s="9"/>
      <c r="D76" s="10"/>
      <c r="E76" s="10"/>
    </row>
    <row r="77" spans="2:5" ht="16.5" customHeight="1">
      <c r="B77" s="9"/>
      <c r="C77" s="9"/>
      <c r="D77" s="10"/>
      <c r="E77" s="10"/>
    </row>
    <row r="78" spans="2:5" ht="16.5" customHeight="1">
      <c r="B78" s="9"/>
      <c r="C78" s="9"/>
      <c r="D78" s="10"/>
      <c r="E78" s="10"/>
    </row>
    <row r="79" spans="2:5" ht="16.5" customHeight="1">
      <c r="B79" s="9"/>
      <c r="C79" s="9"/>
      <c r="D79" s="10"/>
      <c r="E79" s="10"/>
    </row>
    <row r="80" spans="2:5" ht="16.5" customHeight="1">
      <c r="B80" s="9"/>
      <c r="C80" s="9"/>
      <c r="D80" s="10"/>
      <c r="E80" s="10"/>
    </row>
    <row r="81" spans="2:5" ht="16.5" customHeight="1">
      <c r="B81" s="9"/>
      <c r="C81" s="11"/>
      <c r="D81" s="10"/>
      <c r="E81" s="10"/>
    </row>
    <row r="82" spans="2:5" ht="16.5" customHeight="1">
      <c r="B82" s="9"/>
      <c r="C82" s="11"/>
      <c r="D82" s="10"/>
      <c r="E82" s="10"/>
    </row>
    <row r="83" spans="2:5" ht="16.5" customHeight="1">
      <c r="B83" s="9"/>
      <c r="C83" s="11"/>
      <c r="D83" s="10"/>
      <c r="E83" s="10"/>
    </row>
    <row r="84" spans="2:5" ht="16.5" customHeight="1">
      <c r="B84" s="9"/>
      <c r="C84" s="11"/>
      <c r="D84" s="10"/>
      <c r="E84" s="10"/>
    </row>
    <row r="85" spans="2:5" ht="16.5" customHeight="1">
      <c r="B85" s="9"/>
      <c r="C85" s="11"/>
      <c r="D85" s="10"/>
      <c r="E85" s="10"/>
    </row>
    <row r="86" spans="2:5" ht="16.5" customHeight="1">
      <c r="B86" s="9"/>
      <c r="C86" s="11"/>
      <c r="D86" s="10"/>
      <c r="E86" s="10"/>
    </row>
    <row r="87" spans="2:5" ht="16.5" customHeight="1">
      <c r="B87" s="9"/>
      <c r="C87" s="11"/>
      <c r="D87" s="10"/>
      <c r="E87" s="10"/>
    </row>
    <row r="88" spans="2:5" ht="16.5" customHeight="1">
      <c r="B88" s="9"/>
      <c r="C88" s="11"/>
      <c r="D88" s="10"/>
      <c r="E88" s="10"/>
    </row>
    <row r="89" spans="2:5" ht="16.5" customHeight="1">
      <c r="B89" s="9"/>
      <c r="C89" s="11"/>
      <c r="D89" s="10"/>
      <c r="E89" s="10"/>
    </row>
    <row r="90" spans="2:5" ht="16.5" customHeight="1">
      <c r="B90" s="9"/>
      <c r="C90" s="11"/>
      <c r="D90" s="10"/>
      <c r="E90" s="10"/>
    </row>
    <row r="91" spans="2:5" ht="16.5" customHeight="1">
      <c r="B91" s="9"/>
      <c r="C91" s="11"/>
      <c r="D91" s="10"/>
      <c r="E91" s="10"/>
    </row>
    <row r="92" spans="2:5" ht="16.5" customHeight="1">
      <c r="B92" s="9"/>
      <c r="C92" s="11"/>
      <c r="D92" s="10"/>
      <c r="E92" s="10"/>
    </row>
    <row r="93" spans="2:5" ht="16.5" customHeight="1">
      <c r="B93" s="9"/>
      <c r="C93" s="11"/>
      <c r="D93" s="10"/>
      <c r="E93" s="10"/>
    </row>
    <row r="94" spans="2:5" ht="16.5" customHeight="1">
      <c r="B94" s="9"/>
      <c r="C94" s="11"/>
      <c r="D94" s="10"/>
      <c r="E94" s="10"/>
    </row>
    <row r="95" spans="2:5" ht="16.5" customHeight="1">
      <c r="B95" s="9"/>
      <c r="C95" s="11"/>
      <c r="D95" s="10"/>
      <c r="E95" s="10"/>
    </row>
    <row r="96" spans="2:5" ht="16.5" customHeight="1">
      <c r="B96" s="9"/>
      <c r="C96" s="11"/>
      <c r="D96" s="10"/>
      <c r="E96" s="10"/>
    </row>
    <row r="97" spans="2:5" ht="16.5" customHeight="1">
      <c r="B97" s="9"/>
      <c r="C97" s="11"/>
      <c r="D97" s="10"/>
      <c r="E97" s="10"/>
    </row>
    <row r="98" spans="2:5" ht="16.5" customHeight="1">
      <c r="B98" s="9"/>
      <c r="C98" s="11"/>
      <c r="D98" s="10"/>
      <c r="E98" s="10"/>
    </row>
    <row r="99" spans="2:5" ht="16.5" customHeight="1">
      <c r="B99" s="9"/>
      <c r="C99" s="11"/>
      <c r="D99" s="10"/>
      <c r="E99" s="10"/>
    </row>
    <row r="100" spans="2:5" ht="16.5" customHeight="1">
      <c r="B100" s="9"/>
      <c r="C100" s="11"/>
      <c r="D100" s="10"/>
      <c r="E100" s="10"/>
    </row>
    <row r="101" spans="2:5" ht="16.5" customHeight="1">
      <c r="B101" s="9"/>
      <c r="C101" s="11"/>
      <c r="D101" s="10"/>
      <c r="E101" s="10"/>
    </row>
    <row r="102" spans="2:5" ht="16.5" customHeight="1">
      <c r="B102" s="9"/>
      <c r="C102" s="11"/>
      <c r="D102" s="10"/>
      <c r="E102" s="10"/>
    </row>
    <row r="103" spans="2:5" ht="16.5" customHeight="1">
      <c r="B103" s="9"/>
      <c r="C103" s="11"/>
      <c r="D103" s="10"/>
      <c r="E103" s="10"/>
    </row>
    <row r="104" spans="2:5" ht="16.5" customHeight="1">
      <c r="B104" s="9"/>
      <c r="C104" s="11"/>
      <c r="D104" s="10"/>
      <c r="E104" s="10"/>
    </row>
    <row r="105" spans="2:5" ht="16.5" customHeight="1">
      <c r="B105" s="9"/>
      <c r="C105" s="11"/>
      <c r="D105" s="10"/>
      <c r="E105" s="10"/>
    </row>
    <row r="106" spans="2:5" ht="16.5" customHeight="1">
      <c r="B106" s="9"/>
      <c r="C106" s="11"/>
      <c r="D106" s="10"/>
      <c r="E106" s="10"/>
    </row>
    <row r="107" spans="2:5" ht="16.5" customHeight="1">
      <c r="B107" s="9"/>
      <c r="C107" s="11"/>
      <c r="D107" s="10"/>
      <c r="E107" s="10"/>
    </row>
    <row r="108" spans="2:5" ht="16.5" customHeight="1">
      <c r="B108" s="9"/>
      <c r="C108" s="11"/>
      <c r="D108" s="10"/>
      <c r="E108" s="10"/>
    </row>
    <row r="109" spans="2:5" ht="16.5" customHeight="1">
      <c r="B109" s="9"/>
      <c r="C109" s="11"/>
      <c r="D109" s="10"/>
      <c r="E109" s="10"/>
    </row>
    <row r="110" spans="2:5" ht="16.5" customHeight="1">
      <c r="B110" s="9"/>
      <c r="C110" s="11"/>
      <c r="D110" s="10"/>
      <c r="E110" s="10"/>
    </row>
    <row r="111" spans="2:5" ht="16.5" customHeight="1">
      <c r="B111" s="9"/>
      <c r="C111" s="11"/>
      <c r="D111" s="10"/>
      <c r="E111" s="10"/>
    </row>
    <row r="112" spans="2:5" ht="16.5" customHeight="1">
      <c r="B112" s="9"/>
      <c r="C112" s="11"/>
      <c r="D112" s="10"/>
      <c r="E112" s="10"/>
    </row>
    <row r="113" spans="2:5" ht="16.5" customHeight="1">
      <c r="B113" s="9"/>
      <c r="C113" s="11"/>
      <c r="D113" s="10"/>
      <c r="E113" s="10"/>
    </row>
    <row r="114" spans="2:5" ht="16.5" customHeight="1">
      <c r="B114" s="9"/>
      <c r="C114" s="11"/>
      <c r="D114" s="10"/>
      <c r="E114" s="10"/>
    </row>
  </sheetData>
  <sheetProtection password="CB41" sheet="1" objects="1" scenarios="1"/>
  <mergeCells count="36">
    <mergeCell ref="B19:C19"/>
    <mergeCell ref="B20:C20"/>
    <mergeCell ref="B38:C38"/>
    <mergeCell ref="B23:D23"/>
    <mergeCell ref="B25:J26"/>
    <mergeCell ref="A28:J28"/>
    <mergeCell ref="B31:B32"/>
    <mergeCell ref="A14:J14"/>
    <mergeCell ref="H11:I11"/>
    <mergeCell ref="H12:I12"/>
    <mergeCell ref="H9:I10"/>
    <mergeCell ref="J17:J18"/>
    <mergeCell ref="A2:J2"/>
    <mergeCell ref="A3:J5"/>
    <mergeCell ref="A7:J7"/>
    <mergeCell ref="A9:A10"/>
    <mergeCell ref="B9:B10"/>
    <mergeCell ref="C9:C10"/>
    <mergeCell ref="D9:D10"/>
    <mergeCell ref="E9:E10"/>
    <mergeCell ref="F9:G9"/>
    <mergeCell ref="J9:J10"/>
    <mergeCell ref="A47:I47"/>
    <mergeCell ref="B51:C51"/>
    <mergeCell ref="B52:C52"/>
    <mergeCell ref="D39:F39"/>
    <mergeCell ref="B41:C41"/>
    <mergeCell ref="B42:C42"/>
    <mergeCell ref="B44:F45"/>
    <mergeCell ref="C60:E60"/>
    <mergeCell ref="B53:E53"/>
    <mergeCell ref="B54:C54"/>
    <mergeCell ref="H60:I60"/>
    <mergeCell ref="B55:C55"/>
    <mergeCell ref="D56:E56"/>
    <mergeCell ref="B58:C58"/>
  </mergeCells>
  <printOptions/>
  <pageMargins left="0.5" right="0.5" top="0.5" bottom="0.55" header="0.5" footer="0.5"/>
  <pageSetup fitToHeight="1" fitToWidth="1" horizontalDpi="300" verticalDpi="300" orientation="portrait" paperSize="9" scale="72" r:id="rId1"/>
  <headerFooter alignWithMargins="0">
    <oddFooter>&amp;L&amp;D&amp;C&amp;Z&amp;F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80"/>
  <sheetViews>
    <sheetView zoomScale="75" zoomScaleNormal="75" workbookViewId="0" topLeftCell="A1">
      <selection activeCell="B5" sqref="B5"/>
    </sheetView>
  </sheetViews>
  <sheetFormatPr defaultColWidth="8.88671875" defaultRowHeight="15"/>
  <cols>
    <col min="1" max="1" width="4.10546875" style="42" customWidth="1"/>
    <col min="2" max="2" width="2.99609375" style="42" customWidth="1"/>
    <col min="3" max="3" width="32.10546875" style="42" customWidth="1"/>
    <col min="4" max="4" width="11.88671875" style="6" customWidth="1"/>
    <col min="5" max="5" width="11.5546875" style="6" bestFit="1" customWidth="1"/>
    <col min="6" max="6" width="10.10546875" style="42" customWidth="1"/>
    <col min="7" max="7" width="10.88671875" style="42" bestFit="1" customWidth="1"/>
    <col min="8" max="16384" width="8.88671875" style="42" customWidth="1"/>
  </cols>
  <sheetData>
    <row r="1" spans="2:5" s="2" customFormat="1" ht="15">
      <c r="B1" s="1"/>
      <c r="C1" s="1"/>
      <c r="D1" s="146"/>
      <c r="E1" s="3"/>
    </row>
    <row r="2" spans="2:5" s="2" customFormat="1" ht="15">
      <c r="B2" s="1">
        <f>+'TP Info'!C3</f>
        <v>0</v>
      </c>
      <c r="C2" s="1"/>
      <c r="D2" s="146"/>
      <c r="E2" s="3"/>
    </row>
    <row r="3" spans="2:5" s="2" customFormat="1" ht="15">
      <c r="B3" s="62">
        <f>+'TP Info'!C4</f>
        <v>0</v>
      </c>
      <c r="C3" s="62"/>
      <c r="D3" s="147"/>
      <c r="E3" s="3"/>
    </row>
    <row r="4" spans="2:5" s="2" customFormat="1" ht="15">
      <c r="B4" s="1" t="s">
        <v>32</v>
      </c>
      <c r="C4" s="1"/>
      <c r="D4" s="146"/>
      <c r="E4" s="3"/>
    </row>
    <row r="5" spans="2:5" s="2" customFormat="1" ht="15">
      <c r="B5" s="63" t="str">
        <f>CONCATENATE("FOR THE YEAR ENDED ",TEXT(Refernce!D4,"dd mmmm yyyy"))</f>
        <v>FOR THE YEAR ENDED 28 February 2023</v>
      </c>
      <c r="C5" s="63"/>
      <c r="D5" s="148"/>
      <c r="E5" s="3"/>
    </row>
    <row r="6" spans="4:8" s="2" customFormat="1" ht="15">
      <c r="D6" s="3"/>
      <c r="E6" s="12"/>
      <c r="G6" s="13"/>
      <c r="H6" s="218"/>
    </row>
    <row r="7" spans="2:8" ht="15">
      <c r="B7" s="40" t="s">
        <v>182</v>
      </c>
      <c r="C7" s="40"/>
      <c r="D7" s="149"/>
      <c r="E7" s="41">
        <v>0</v>
      </c>
      <c r="H7" s="219"/>
    </row>
    <row r="8" spans="5:8" ht="15">
      <c r="E8" s="41"/>
      <c r="H8" s="219"/>
    </row>
    <row r="9" spans="2:5" ht="15">
      <c r="B9" s="40" t="s">
        <v>33</v>
      </c>
      <c r="C9" s="40"/>
      <c r="D9" s="149"/>
      <c r="E9" s="41">
        <f>+E10</f>
        <v>0</v>
      </c>
    </row>
    <row r="10" spans="2:5" ht="15">
      <c r="B10" s="42" t="s">
        <v>34</v>
      </c>
      <c r="E10" s="150">
        <v>0</v>
      </c>
    </row>
    <row r="11" ht="15">
      <c r="E11" s="41"/>
    </row>
    <row r="12" ht="15">
      <c r="E12" s="151"/>
    </row>
    <row r="13" spans="2:5" ht="15">
      <c r="B13" s="40" t="s">
        <v>35</v>
      </c>
      <c r="C13" s="40"/>
      <c r="D13" s="149"/>
      <c r="E13" s="41">
        <f>+E7-E9</f>
        <v>0</v>
      </c>
    </row>
    <row r="15" spans="2:5" ht="15">
      <c r="B15" s="40" t="s">
        <v>36</v>
      </c>
      <c r="C15" s="40"/>
      <c r="D15" s="149"/>
      <c r="E15" s="6">
        <f>SUM(E17:E41)</f>
        <v>0</v>
      </c>
    </row>
    <row r="16" ht="15">
      <c r="E16" s="152"/>
    </row>
    <row r="17" spans="2:5" ht="15">
      <c r="B17" s="42" t="s">
        <v>37</v>
      </c>
      <c r="E17" s="182"/>
    </row>
    <row r="18" spans="2:5" ht="15">
      <c r="B18" s="42" t="s">
        <v>154</v>
      </c>
      <c r="E18" s="153"/>
    </row>
    <row r="19" spans="2:5" ht="15">
      <c r="B19" s="42" t="s">
        <v>38</v>
      </c>
      <c r="E19" s="153"/>
    </row>
    <row r="20" spans="2:5" ht="15">
      <c r="B20" s="42" t="s">
        <v>153</v>
      </c>
      <c r="E20" s="153"/>
    </row>
    <row r="21" spans="2:5" ht="15">
      <c r="B21" s="42" t="s">
        <v>284</v>
      </c>
      <c r="E21" s="153"/>
    </row>
    <row r="22" spans="2:5" ht="15">
      <c r="B22" s="42" t="s">
        <v>232</v>
      </c>
      <c r="E22" s="153"/>
    </row>
    <row r="23" spans="2:5" ht="15">
      <c r="B23" s="42" t="s">
        <v>233</v>
      </c>
      <c r="E23" s="153"/>
    </row>
    <row r="24" spans="2:5" ht="15">
      <c r="B24" s="42" t="s">
        <v>155</v>
      </c>
      <c r="E24" s="153"/>
    </row>
    <row r="25" spans="2:5" ht="15">
      <c r="B25" s="42" t="s">
        <v>285</v>
      </c>
      <c r="E25" s="153">
        <f>D32+D33</f>
        <v>0</v>
      </c>
    </row>
    <row r="26" spans="3:5" ht="15">
      <c r="C26" s="42" t="s">
        <v>228</v>
      </c>
      <c r="D26" s="154"/>
      <c r="E26" s="155"/>
    </row>
    <row r="27" spans="3:5" ht="15">
      <c r="C27" s="42" t="s">
        <v>39</v>
      </c>
      <c r="D27" s="156"/>
      <c r="E27" s="153"/>
    </row>
    <row r="28" spans="3:5" ht="15">
      <c r="C28" s="42" t="s">
        <v>158</v>
      </c>
      <c r="D28" s="156"/>
      <c r="E28" s="153"/>
    </row>
    <row r="29" spans="3:5" ht="15">
      <c r="C29" s="42" t="s">
        <v>151</v>
      </c>
      <c r="D29" s="156"/>
      <c r="E29" s="153"/>
    </row>
    <row r="30" spans="3:5" ht="15">
      <c r="C30" s="42" t="s">
        <v>283</v>
      </c>
      <c r="D30" s="156"/>
      <c r="E30" s="153"/>
    </row>
    <row r="31" spans="3:5" ht="15">
      <c r="C31" s="42" t="s">
        <v>40</v>
      </c>
      <c r="D31" s="156"/>
      <c r="E31" s="153"/>
    </row>
    <row r="32" spans="4:5" ht="15">
      <c r="D32" s="154">
        <f>SUM(D26:D31)</f>
        <v>0</v>
      </c>
      <c r="E32" s="153"/>
    </row>
    <row r="33" spans="3:5" ht="15">
      <c r="C33" s="42" t="s">
        <v>231</v>
      </c>
      <c r="D33" s="157">
        <f>-D32*0.85</f>
        <v>0</v>
      </c>
      <c r="E33" s="153"/>
    </row>
    <row r="34" spans="2:5" ht="15">
      <c r="B34" s="42" t="s">
        <v>152</v>
      </c>
      <c r="E34" s="180"/>
    </row>
    <row r="35" spans="3:7" ht="15">
      <c r="C35" s="42" t="s">
        <v>29</v>
      </c>
      <c r="D35" s="154"/>
      <c r="E35" s="181"/>
      <c r="F35" s="41"/>
      <c r="G35" s="6"/>
    </row>
    <row r="36" spans="3:7" ht="15">
      <c r="C36" s="42" t="s">
        <v>230</v>
      </c>
      <c r="D36" s="156"/>
      <c r="E36" s="155"/>
      <c r="F36" s="41"/>
      <c r="G36" s="6"/>
    </row>
    <row r="37" spans="3:7" ht="15">
      <c r="C37" s="42" t="s">
        <v>228</v>
      </c>
      <c r="D37" s="156"/>
      <c r="E37" s="155"/>
      <c r="F37" s="41"/>
      <c r="G37" s="6"/>
    </row>
    <row r="38" spans="3:7" ht="15">
      <c r="C38" s="42" t="s">
        <v>158</v>
      </c>
      <c r="D38" s="156"/>
      <c r="E38" s="155"/>
      <c r="F38" s="41"/>
      <c r="G38" s="6"/>
    </row>
    <row r="39" spans="3:7" ht="15">
      <c r="C39" s="42" t="s">
        <v>232</v>
      </c>
      <c r="D39" s="156"/>
      <c r="E39" s="155"/>
      <c r="F39" s="41"/>
      <c r="G39" s="6"/>
    </row>
    <row r="40" spans="3:7" ht="15">
      <c r="C40" s="42" t="s">
        <v>229</v>
      </c>
      <c r="D40" s="156"/>
      <c r="E40" s="155"/>
      <c r="F40" s="41"/>
      <c r="G40" s="6"/>
    </row>
    <row r="41" spans="3:5" ht="15">
      <c r="C41" s="42" t="s">
        <v>227</v>
      </c>
      <c r="D41" s="156"/>
      <c r="E41" s="153"/>
    </row>
    <row r="42" spans="4:5" ht="15">
      <c r="D42" s="154">
        <f>SUM(D35:D41)</f>
        <v>0</v>
      </c>
      <c r="E42" s="153"/>
    </row>
    <row r="43" spans="3:5" ht="15">
      <c r="C43" s="42" t="s">
        <v>240</v>
      </c>
      <c r="D43" s="157">
        <f>-D42*0.14</f>
        <v>0</v>
      </c>
      <c r="E43" s="153"/>
    </row>
    <row r="44" ht="15">
      <c r="E44" s="158"/>
    </row>
    <row r="45" ht="15">
      <c r="E45" s="41"/>
    </row>
    <row r="47" spans="2:5" ht="16.2" thickBot="1">
      <c r="B47" s="40" t="s">
        <v>41</v>
      </c>
      <c r="C47" s="40"/>
      <c r="D47" s="149"/>
      <c r="E47" s="159">
        <f>+E13-E15</f>
        <v>0</v>
      </c>
    </row>
    <row r="48" ht="16.2" thickTop="1"/>
    <row r="51" ht="15">
      <c r="C51" s="111"/>
    </row>
    <row r="52" ht="15">
      <c r="C52" s="111"/>
    </row>
    <row r="53" ht="15">
      <c r="C53" s="111"/>
    </row>
    <row r="54" ht="15">
      <c r="C54" s="111"/>
    </row>
    <row r="55" ht="15">
      <c r="C55" s="111"/>
    </row>
    <row r="56" ht="15">
      <c r="C56" s="111"/>
    </row>
    <row r="57" ht="15">
      <c r="C57" s="111"/>
    </row>
    <row r="58" ht="15">
      <c r="C58" s="111"/>
    </row>
    <row r="59" ht="15">
      <c r="C59" s="111"/>
    </row>
    <row r="60" ht="15">
      <c r="C60" s="111"/>
    </row>
    <row r="61" ht="15">
      <c r="C61" s="111"/>
    </row>
    <row r="62" ht="15">
      <c r="C62" s="111"/>
    </row>
    <row r="63" ht="15">
      <c r="C63" s="111"/>
    </row>
    <row r="64" ht="15">
      <c r="C64" s="111"/>
    </row>
    <row r="65" ht="15">
      <c r="C65" s="111"/>
    </row>
    <row r="66" ht="15">
      <c r="C66" s="111"/>
    </row>
    <row r="67" ht="15">
      <c r="C67" s="111"/>
    </row>
    <row r="68" ht="15">
      <c r="C68" s="111"/>
    </row>
    <row r="69" ht="15">
      <c r="C69" s="111"/>
    </row>
    <row r="70" ht="15">
      <c r="C70" s="111"/>
    </row>
    <row r="71" ht="15">
      <c r="C71" s="111"/>
    </row>
    <row r="72" ht="15">
      <c r="C72" s="111"/>
    </row>
    <row r="73" ht="15">
      <c r="C73" s="111"/>
    </row>
    <row r="74" ht="15">
      <c r="C74" s="111"/>
    </row>
    <row r="75" ht="15">
      <c r="C75" s="111"/>
    </row>
    <row r="76" ht="15">
      <c r="C76" s="111"/>
    </row>
    <row r="77" ht="15">
      <c r="C77" s="111"/>
    </row>
    <row r="78" ht="15">
      <c r="C78" s="111"/>
    </row>
    <row r="79" ht="15">
      <c r="C79" s="111"/>
    </row>
    <row r="80" ht="15">
      <c r="C80" s="111"/>
    </row>
  </sheetData>
  <printOptions/>
  <pageMargins left="0.5" right="0.5" top="0.5" bottom="0.55" header="0.5" footer="0.5"/>
  <pageSetup fitToHeight="1" fitToWidth="1" horizontalDpi="300" verticalDpi="300" orientation="portrait" paperSize="9" r:id="rId1"/>
  <headerFooter alignWithMargins="0">
    <oddFooter>&amp;L&amp;D&amp;C&amp;Z&amp;F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1"/>
  <sheetViews>
    <sheetView zoomScale="75" zoomScaleNormal="75" workbookViewId="0" topLeftCell="A1">
      <selection activeCell="C8" sqref="C8"/>
    </sheetView>
  </sheetViews>
  <sheetFormatPr defaultColWidth="8.88671875" defaultRowHeight="15"/>
  <cols>
    <col min="1" max="1" width="2.6640625" style="95" customWidth="1"/>
    <col min="2" max="2" width="3.4453125" style="95" customWidth="1"/>
    <col min="3" max="3" width="23.88671875" style="95" customWidth="1"/>
    <col min="4" max="4" width="1.88671875" style="95" customWidth="1"/>
    <col min="5" max="16384" width="8.88671875" style="95" customWidth="1"/>
  </cols>
  <sheetData>
    <row r="1" ht="15.6">
      <c r="A1" s="1"/>
    </row>
    <row r="2" spans="1:2" ht="15.6">
      <c r="A2" s="44"/>
      <c r="B2" s="96">
        <f>+'TP Info'!C3</f>
        <v>0</v>
      </c>
    </row>
    <row r="3" ht="15.6">
      <c r="B3" s="97">
        <f>+'TP Info'!C4</f>
        <v>0</v>
      </c>
    </row>
    <row r="4" ht="15.6">
      <c r="B4" s="96" t="s">
        <v>135</v>
      </c>
    </row>
    <row r="5" ht="15">
      <c r="B5" s="63" t="str">
        <f>CONCATENATE("FOR THE YEAR ENDED ",TEXT(Refernce!D4,"dd mmmm yyyy"))</f>
        <v>FOR THE YEAR ENDED 28 February 2023</v>
      </c>
    </row>
    <row r="6" ht="15"/>
    <row r="7" ht="15">
      <c r="B7" t="e">
        <f>+#REF!</f>
        <v>#REF!</v>
      </c>
    </row>
    <row r="11" spans="3:5" ht="15.6">
      <c r="C11" s="98" t="s">
        <v>1</v>
      </c>
      <c r="E11" s="95">
        <f>+E12</f>
        <v>0</v>
      </c>
    </row>
    <row r="12" spans="3:5" ht="15">
      <c r="C12" s="95" t="s">
        <v>136</v>
      </c>
      <c r="E12" s="99"/>
    </row>
    <row r="14" spans="3:5" ht="15.6">
      <c r="C14" s="98" t="s">
        <v>137</v>
      </c>
      <c r="E14" s="95">
        <f>SUM(E15:E19)</f>
        <v>0</v>
      </c>
    </row>
    <row r="15" spans="3:5" ht="15">
      <c r="C15" s="95" t="s">
        <v>158</v>
      </c>
      <c r="E15" s="100">
        <v>0</v>
      </c>
    </row>
    <row r="16" spans="3:5" ht="15">
      <c r="C16" s="95" t="s">
        <v>160</v>
      </c>
      <c r="E16" s="101">
        <v>0</v>
      </c>
    </row>
    <row r="17" spans="3:5" ht="15">
      <c r="C17" s="95" t="s">
        <v>138</v>
      </c>
      <c r="E17" s="101">
        <v>0</v>
      </c>
    </row>
    <row r="18" spans="3:5" ht="15">
      <c r="C18" s="95" t="s">
        <v>159</v>
      </c>
      <c r="E18" s="101">
        <v>0</v>
      </c>
    </row>
    <row r="19" spans="3:5" ht="15">
      <c r="C19" s="95" t="s">
        <v>151</v>
      </c>
      <c r="E19" s="102">
        <v>0</v>
      </c>
    </row>
    <row r="21" spans="3:5" ht="16.2" thickBot="1">
      <c r="C21" s="98" t="s">
        <v>139</v>
      </c>
      <c r="E21" s="103">
        <f>+E11-E14</f>
        <v>0</v>
      </c>
    </row>
    <row r="22" ht="15.6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72"/>
  <sheetViews>
    <sheetView zoomScale="75" zoomScaleNormal="75" workbookViewId="0" topLeftCell="A57">
      <selection activeCell="H65" sqref="H65"/>
    </sheetView>
  </sheetViews>
  <sheetFormatPr defaultColWidth="8.88671875" defaultRowHeight="15"/>
  <cols>
    <col min="1" max="2" width="3.99609375" style="0" customWidth="1"/>
    <col min="6" max="6" width="11.3359375" style="0" bestFit="1" customWidth="1"/>
    <col min="7" max="7" width="8.99609375" style="0" bestFit="1" customWidth="1"/>
  </cols>
  <sheetData>
    <row r="1" spans="2:8" ht="15.6">
      <c r="B1" s="96">
        <f>+Taxcalc!B1</f>
        <v>0</v>
      </c>
      <c r="H1" t="s">
        <v>221</v>
      </c>
    </row>
    <row r="2" ht="15.6">
      <c r="B2" s="96">
        <f>+Taxcalc!B2</f>
        <v>0</v>
      </c>
    </row>
    <row r="3" ht="15.6">
      <c r="B3" s="96" t="str">
        <f>+Taxcalc!B3</f>
        <v>COMPUTATION OF INCOME TAX LIABILITY</v>
      </c>
    </row>
    <row r="4" ht="15.6">
      <c r="B4" s="96" t="str">
        <f>+Taxcalc!B4</f>
        <v>FOR THE YEAR ENDED 28 February 2023</v>
      </c>
    </row>
    <row r="6" ht="15.6">
      <c r="B6" s="96" t="s">
        <v>202</v>
      </c>
    </row>
    <row r="7" spans="3:6" ht="15">
      <c r="C7" s="139" t="s">
        <v>203</v>
      </c>
      <c r="D7" s="139"/>
      <c r="E7" s="139"/>
      <c r="F7" s="139" t="s">
        <v>204</v>
      </c>
    </row>
    <row r="8" ht="15">
      <c r="F8" s="16"/>
    </row>
    <row r="9" ht="15">
      <c r="F9" s="16"/>
    </row>
    <row r="10" ht="15">
      <c r="F10" s="16"/>
    </row>
    <row r="11" ht="15">
      <c r="F11" s="16"/>
    </row>
    <row r="12" ht="15">
      <c r="F12" s="16"/>
    </row>
    <row r="13" ht="15">
      <c r="F13" s="16"/>
    </row>
    <row r="14" ht="15">
      <c r="F14" s="16"/>
    </row>
    <row r="15" ht="15">
      <c r="F15" s="16"/>
    </row>
    <row r="16" ht="15">
      <c r="F16" s="16"/>
    </row>
    <row r="17" ht="15">
      <c r="F17" s="16"/>
    </row>
    <row r="18" spans="3:6" ht="15.6" thickBot="1">
      <c r="C18" t="s">
        <v>205</v>
      </c>
      <c r="F18" s="140">
        <f>SUM(F8:F17)</f>
        <v>0</v>
      </c>
    </row>
    <row r="19" ht="15.6" thickTop="1">
      <c r="F19" s="16"/>
    </row>
    <row r="20" spans="2:6" ht="15.6">
      <c r="B20" s="96" t="s">
        <v>206</v>
      </c>
      <c r="F20" s="16"/>
    </row>
    <row r="21" spans="3:6" ht="15">
      <c r="C21" s="139" t="s">
        <v>203</v>
      </c>
      <c r="D21" s="139"/>
      <c r="E21" s="139"/>
      <c r="F21" s="142" t="s">
        <v>204</v>
      </c>
    </row>
    <row r="22" ht="15">
      <c r="F22" s="16"/>
    </row>
    <row r="23" ht="15">
      <c r="F23" s="16"/>
    </row>
    <row r="24" ht="15">
      <c r="F24" s="16"/>
    </row>
    <row r="25" ht="15">
      <c r="F25" s="16"/>
    </row>
    <row r="26" ht="15">
      <c r="F26" s="16"/>
    </row>
    <row r="27" ht="15">
      <c r="F27" s="16"/>
    </row>
    <row r="28" ht="15">
      <c r="F28" s="16"/>
    </row>
    <row r="29" ht="15">
      <c r="F29" s="16"/>
    </row>
    <row r="30" ht="15">
      <c r="F30" s="16"/>
    </row>
    <row r="31" ht="15">
      <c r="F31" s="16"/>
    </row>
    <row r="32" spans="3:6" ht="15.6" thickBot="1">
      <c r="C32" t="s">
        <v>207</v>
      </c>
      <c r="F32" s="140">
        <f>SUM(F22:F31)</f>
        <v>0</v>
      </c>
    </row>
    <row r="33" ht="15.6" thickTop="1">
      <c r="F33" s="16"/>
    </row>
    <row r="34" ht="15.6">
      <c r="B34" s="96" t="s">
        <v>218</v>
      </c>
    </row>
    <row r="35" spans="3:7" ht="15">
      <c r="C35" s="139" t="s">
        <v>203</v>
      </c>
      <c r="D35" s="139"/>
      <c r="E35" s="139"/>
      <c r="F35" s="139" t="s">
        <v>204</v>
      </c>
      <c r="G35" t="s">
        <v>216</v>
      </c>
    </row>
    <row r="36" spans="6:8" ht="15">
      <c r="F36" s="16"/>
      <c r="G36" s="16"/>
      <c r="H36" s="16"/>
    </row>
    <row r="37" spans="6:8" ht="15">
      <c r="F37" s="16"/>
      <c r="G37" s="16"/>
      <c r="H37" s="16"/>
    </row>
    <row r="38" spans="6:8" ht="15">
      <c r="F38" s="16"/>
      <c r="G38" s="16"/>
      <c r="H38" s="16"/>
    </row>
    <row r="39" spans="6:8" ht="15">
      <c r="F39" s="16"/>
      <c r="G39" s="16"/>
      <c r="H39" s="16"/>
    </row>
    <row r="40" spans="6:8" ht="15">
      <c r="F40" s="16"/>
      <c r="G40" s="16"/>
      <c r="H40" s="16"/>
    </row>
    <row r="41" spans="6:8" ht="15">
      <c r="F41" s="16"/>
      <c r="G41" s="16"/>
      <c r="H41" s="16"/>
    </row>
    <row r="42" spans="6:8" ht="15">
      <c r="F42" s="16"/>
      <c r="G42" s="16"/>
      <c r="H42" s="16"/>
    </row>
    <row r="43" spans="6:8" ht="15">
      <c r="F43" s="16"/>
      <c r="G43" s="16"/>
      <c r="H43" s="16"/>
    </row>
    <row r="44" spans="6:8" ht="15">
      <c r="F44" s="16"/>
      <c r="G44" s="16"/>
      <c r="H44" s="16"/>
    </row>
    <row r="45" spans="6:8" ht="15">
      <c r="F45" s="16"/>
      <c r="G45" s="16"/>
      <c r="H45" s="16"/>
    </row>
    <row r="46" spans="6:8" ht="15.6" thickBot="1">
      <c r="F46" s="140">
        <f>SUM(F36:F45)</f>
        <v>0</v>
      </c>
      <c r="G46" s="140">
        <f>SUM(G36:G45)</f>
        <v>0</v>
      </c>
      <c r="H46" s="16">
        <v>4218</v>
      </c>
    </row>
    <row r="47" spans="6:8" ht="15.6" thickTop="1">
      <c r="F47" s="16"/>
      <c r="G47" s="16"/>
      <c r="H47" s="16"/>
    </row>
    <row r="48" ht="15.6">
      <c r="B48" s="96" t="s">
        <v>209</v>
      </c>
    </row>
    <row r="49" spans="3:7" ht="15">
      <c r="C49" s="139" t="s">
        <v>203</v>
      </c>
      <c r="D49" s="139"/>
      <c r="E49" s="139"/>
      <c r="F49" s="139" t="s">
        <v>204</v>
      </c>
      <c r="G49" t="s">
        <v>216</v>
      </c>
    </row>
    <row r="50" spans="6:8" ht="15">
      <c r="F50" s="16"/>
      <c r="G50" s="16"/>
      <c r="H50" s="16"/>
    </row>
    <row r="51" spans="6:8" ht="15">
      <c r="F51" s="16"/>
      <c r="G51" s="16"/>
      <c r="H51" s="16"/>
    </row>
    <row r="52" spans="6:8" ht="15">
      <c r="F52" s="16"/>
      <c r="G52" s="16"/>
      <c r="H52" s="16"/>
    </row>
    <row r="53" spans="6:8" ht="15">
      <c r="F53" s="16"/>
      <c r="G53" s="16"/>
      <c r="H53" s="16"/>
    </row>
    <row r="54" spans="6:8" ht="15">
      <c r="F54" s="16"/>
      <c r="G54" s="16"/>
      <c r="H54" s="16"/>
    </row>
    <row r="55" spans="6:8" ht="15">
      <c r="F55" s="16"/>
      <c r="G55" s="16"/>
      <c r="H55" s="16"/>
    </row>
    <row r="56" spans="6:8" ht="15">
      <c r="F56" s="16"/>
      <c r="G56" s="16"/>
      <c r="H56" s="16"/>
    </row>
    <row r="57" spans="6:8" ht="15">
      <c r="F57" s="16"/>
      <c r="G57" s="16"/>
      <c r="H57" s="16"/>
    </row>
    <row r="58" spans="6:8" ht="15">
      <c r="F58" s="16"/>
      <c r="G58" s="16"/>
      <c r="H58" s="16"/>
    </row>
    <row r="59" spans="6:8" ht="15">
      <c r="F59" s="16"/>
      <c r="G59" s="16"/>
      <c r="H59" s="16"/>
    </row>
    <row r="60" spans="6:8" ht="15.6" thickBot="1">
      <c r="F60" s="140">
        <f>SUM(F50:F59)</f>
        <v>0</v>
      </c>
      <c r="G60" s="140">
        <f>SUM(G50:G59)</f>
        <v>0</v>
      </c>
      <c r="H60" s="16">
        <v>4216</v>
      </c>
    </row>
    <row r="61" spans="3:8" ht="15.6" thickTop="1">
      <c r="C61" t="s">
        <v>210</v>
      </c>
      <c r="F61" s="16"/>
      <c r="G61" s="16"/>
      <c r="H61" s="16"/>
    </row>
    <row r="62" spans="3:8" ht="15">
      <c r="C62" t="s">
        <v>211</v>
      </c>
      <c r="F62" s="16"/>
      <c r="G62" s="16"/>
      <c r="H62" s="16"/>
    </row>
    <row r="63" spans="6:8" ht="15">
      <c r="F63" s="16"/>
      <c r="G63" s="16"/>
      <c r="H63" s="16"/>
    </row>
    <row r="64" spans="3:8" ht="15">
      <c r="C64" t="s">
        <v>212</v>
      </c>
      <c r="F64" s="16"/>
      <c r="G64" s="16"/>
      <c r="H64" s="16"/>
    </row>
    <row r="65" spans="3:8" ht="15">
      <c r="C65" t="s">
        <v>286</v>
      </c>
      <c r="F65" s="16"/>
      <c r="G65" s="16"/>
      <c r="H65" s="38"/>
    </row>
    <row r="66" spans="3:8" ht="15">
      <c r="C66" t="s">
        <v>213</v>
      </c>
      <c r="F66" s="16"/>
      <c r="G66" s="16"/>
      <c r="H66" s="16"/>
    </row>
    <row r="67" spans="6:8" ht="15">
      <c r="F67" s="141"/>
      <c r="G67" s="16"/>
      <c r="H67" s="16"/>
    </row>
    <row r="68" spans="3:8" ht="15">
      <c r="C68" t="s">
        <v>214</v>
      </c>
      <c r="F68" s="16">
        <f>((25/45)*F60)</f>
        <v>0</v>
      </c>
      <c r="G68" s="16"/>
      <c r="H68" s="16"/>
    </row>
    <row r="69" spans="6:8" ht="15">
      <c r="F69" s="16"/>
      <c r="G69" s="16"/>
      <c r="H69" s="16"/>
    </row>
    <row r="70" spans="3:8" ht="15.6" thickBot="1">
      <c r="C70" t="s">
        <v>215</v>
      </c>
      <c r="F70" s="140">
        <f>+F60-F68</f>
        <v>0</v>
      </c>
      <c r="G70" s="16"/>
      <c r="H70" s="16"/>
    </row>
    <row r="71" spans="6:8" ht="15.6" thickTop="1">
      <c r="F71" s="16"/>
      <c r="G71" s="16"/>
      <c r="H71" s="16"/>
    </row>
    <row r="72" spans="6:8" ht="15">
      <c r="F72" s="16"/>
      <c r="G72" s="16"/>
      <c r="H72" s="1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I23"/>
  <sheetViews>
    <sheetView zoomScale="75" zoomScaleNormal="75" workbookViewId="0" topLeftCell="A1">
      <selection activeCell="C11" sqref="C11"/>
    </sheetView>
  </sheetViews>
  <sheetFormatPr defaultColWidth="8.88671875" defaultRowHeight="15"/>
  <cols>
    <col min="1" max="1" width="3.21484375" style="2" customWidth="1"/>
    <col min="2" max="2" width="33.10546875" style="2" customWidth="1"/>
    <col min="3" max="3" width="11.5546875" style="3" bestFit="1" customWidth="1"/>
    <col min="4" max="4" width="8.88671875" style="2" customWidth="1"/>
    <col min="5" max="5" width="12.10546875" style="2" bestFit="1" customWidth="1"/>
    <col min="6" max="6" width="11.99609375" style="2" customWidth="1"/>
    <col min="7" max="7" width="8.88671875" style="2" customWidth="1"/>
    <col min="8" max="8" width="21.5546875" style="2" bestFit="1" customWidth="1"/>
    <col min="9" max="9" width="11.5546875" style="3" bestFit="1" customWidth="1"/>
    <col min="10" max="16384" width="8.88671875" style="2" customWidth="1"/>
  </cols>
  <sheetData>
    <row r="1" ht="15">
      <c r="B1" s="1">
        <f>+Taxcalc!B1</f>
        <v>0</v>
      </c>
    </row>
    <row r="2" ht="15">
      <c r="B2" s="44">
        <f>+'TP Info'!C4</f>
        <v>0</v>
      </c>
    </row>
    <row r="3" ht="15">
      <c r="B3" s="1" t="s">
        <v>42</v>
      </c>
    </row>
    <row r="4" ht="15">
      <c r="B4" s="1" t="str">
        <f>+Taxcalc!B4</f>
        <v>FOR THE YEAR ENDED 28 February 2023</v>
      </c>
    </row>
    <row r="5" spans="5:6" ht="15">
      <c r="E5" s="2" t="s">
        <v>173</v>
      </c>
      <c r="F5" s="2" t="s">
        <v>174</v>
      </c>
    </row>
    <row r="6" spans="2:6" ht="15">
      <c r="B6" s="2" t="s">
        <v>43</v>
      </c>
      <c r="C6" s="39">
        <f>F10</f>
        <v>0</v>
      </c>
      <c r="E6" s="3">
        <v>0</v>
      </c>
      <c r="F6" s="3">
        <v>0</v>
      </c>
    </row>
    <row r="7" spans="5:6" ht="15">
      <c r="E7" s="3">
        <v>0</v>
      </c>
      <c r="F7" s="3">
        <v>0</v>
      </c>
    </row>
    <row r="8" spans="2:6" ht="15">
      <c r="B8" s="2" t="s">
        <v>44</v>
      </c>
      <c r="C8" s="39">
        <f>-E10</f>
        <v>0</v>
      </c>
      <c r="E8" s="3">
        <v>0</v>
      </c>
      <c r="F8" s="3">
        <v>0</v>
      </c>
    </row>
    <row r="9" spans="3:9" ht="16.2" thickBot="1">
      <c r="C9" s="14"/>
      <c r="E9" s="3">
        <v>0</v>
      </c>
      <c r="F9" s="3">
        <v>0</v>
      </c>
      <c r="I9" s="221"/>
    </row>
    <row r="10" spans="3:6" ht="16.2" thickBot="1">
      <c r="C10" s="3">
        <f>SUM(C6:C8)</f>
        <v>0</v>
      </c>
      <c r="E10" s="15">
        <f>SUM(E6:E9)</f>
        <v>0</v>
      </c>
      <c r="F10" s="15">
        <f>SUM(F6:F9)</f>
        <v>0</v>
      </c>
    </row>
    <row r="11" spans="2:6" ht="16.2" thickTop="1">
      <c r="B11" s="2" t="s">
        <v>45</v>
      </c>
      <c r="C11" s="3">
        <f>-Refernce!D11</f>
        <v>-40000</v>
      </c>
      <c r="E11" s="3">
        <f>+F10-E10</f>
        <v>0</v>
      </c>
      <c r="F11" s="3"/>
    </row>
    <row r="12" ht="15">
      <c r="C12" s="14"/>
    </row>
    <row r="13" spans="2:3" ht="15">
      <c r="B13" s="2" t="s">
        <v>46</v>
      </c>
      <c r="C13" s="3">
        <f>+C10+C11</f>
        <v>-40000</v>
      </c>
    </row>
    <row r="14" spans="2:3" ht="15">
      <c r="B14" s="2" t="s">
        <v>47</v>
      </c>
      <c r="C14" s="39">
        <v>0</v>
      </c>
    </row>
    <row r="15" ht="15">
      <c r="C15" s="14"/>
    </row>
    <row r="16" spans="2:3" ht="15">
      <c r="B16" s="2" t="s">
        <v>48</v>
      </c>
      <c r="C16" s="3">
        <f>+C14+C13</f>
        <v>-40000</v>
      </c>
    </row>
    <row r="18" spans="2:3" ht="15">
      <c r="B18" s="2" t="s">
        <v>71</v>
      </c>
      <c r="C18" s="7">
        <f>+Refernce!D12</f>
        <v>0.4</v>
      </c>
    </row>
    <row r="20" spans="2:3" ht="16.2" thickBot="1">
      <c r="B20" s="2" t="s">
        <v>49</v>
      </c>
      <c r="C20" s="15">
        <f>+C16*C18</f>
        <v>-16000</v>
      </c>
    </row>
    <row r="21" ht="16.2" thickTop="1"/>
    <row r="23" ht="15">
      <c r="B23" s="2" t="s">
        <v>282</v>
      </c>
    </row>
  </sheetData>
  <printOptions/>
  <pageMargins left="0.5" right="0.5" top="0.5" bottom="0.55" header="0.5" footer="0.5"/>
  <pageSetup fitToHeight="1" fitToWidth="1" horizontalDpi="300" verticalDpi="300" orientation="portrait" paperSize="9" scale="62" r:id="rId1"/>
  <headerFooter alignWithMargins="0">
    <oddFooter>&amp;L&amp;D&amp;C&amp;Z&amp;F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>
    <pageSetUpPr fitToPage="1"/>
  </sheetPr>
  <dimension ref="A1:O88"/>
  <sheetViews>
    <sheetView zoomScale="75" zoomScaleNormal="75" workbookViewId="0" topLeftCell="A7">
      <selection activeCell="H17" sqref="H17"/>
    </sheetView>
  </sheetViews>
  <sheetFormatPr defaultColWidth="8.6640625" defaultRowHeight="15"/>
  <cols>
    <col min="1" max="1" width="5.88671875" style="22" customWidth="1"/>
    <col min="2" max="2" width="16.21484375" style="22" customWidth="1"/>
    <col min="3" max="3" width="4.4453125" style="22" customWidth="1"/>
    <col min="4" max="4" width="14.88671875" style="22" customWidth="1"/>
    <col min="5" max="5" width="1.99609375" style="22" customWidth="1"/>
    <col min="6" max="6" width="4.99609375" style="22" customWidth="1"/>
    <col min="7" max="7" width="10.88671875" style="22" bestFit="1" customWidth="1"/>
    <col min="8" max="8" width="13.3359375" style="22" bestFit="1" customWidth="1"/>
    <col min="9" max="9" width="10.21484375" style="119" customWidth="1"/>
    <col min="10" max="10" width="11.6640625" style="22" customWidth="1"/>
    <col min="11" max="11" width="12.10546875" style="22" customWidth="1"/>
    <col min="12" max="13" width="8.6640625" style="22" customWidth="1"/>
    <col min="14" max="14" width="9.10546875" style="22" bestFit="1" customWidth="1"/>
    <col min="15" max="15" width="10.10546875" style="22" bestFit="1" customWidth="1"/>
    <col min="16" max="16384" width="8.6640625" style="22" customWidth="1"/>
  </cols>
  <sheetData>
    <row r="1" spans="1:9" ht="15.6">
      <c r="A1" s="20"/>
      <c r="B1" s="21">
        <f>+'TP Info'!C3</f>
        <v>0</v>
      </c>
      <c r="C1" s="20"/>
      <c r="D1" s="20"/>
      <c r="E1" s="20"/>
      <c r="F1" s="20"/>
      <c r="G1" s="20"/>
      <c r="H1" s="20"/>
      <c r="I1" s="117"/>
    </row>
    <row r="2" spans="1:9" ht="15.6">
      <c r="A2" s="20"/>
      <c r="B2" s="108">
        <f>+'TP Info'!C4</f>
        <v>0</v>
      </c>
      <c r="C2" s="20"/>
      <c r="D2" s="20"/>
      <c r="E2" s="20"/>
      <c r="F2" s="20"/>
      <c r="G2" s="20"/>
      <c r="H2" s="20"/>
      <c r="I2" s="117"/>
    </row>
    <row r="3" spans="1:9" ht="15">
      <c r="A3" s="20"/>
      <c r="B3" s="23" t="s">
        <v>0</v>
      </c>
      <c r="C3" s="20"/>
      <c r="D3" s="20"/>
      <c r="E3" s="20"/>
      <c r="F3" s="20"/>
      <c r="G3" s="20"/>
      <c r="H3" s="20"/>
      <c r="I3" s="117"/>
    </row>
    <row r="4" spans="1:12" ht="15">
      <c r="A4" s="20"/>
      <c r="B4" s="23" t="str">
        <f>CONCATENATE("FOR THE YEAR ENDED ",TEXT(Refernce!D4,"dd mmmm yyyy"))</f>
        <v>FOR THE YEAR ENDED 28 February 2023</v>
      </c>
      <c r="C4" s="20"/>
      <c r="D4" s="20"/>
      <c r="E4" s="20"/>
      <c r="F4" s="20"/>
      <c r="G4" s="20"/>
      <c r="H4" s="20"/>
      <c r="I4" s="117"/>
      <c r="L4" s="5"/>
    </row>
    <row r="5" spans="1:12" ht="15">
      <c r="A5" s="20"/>
      <c r="B5" s="20"/>
      <c r="C5" s="20"/>
      <c r="D5" s="20"/>
      <c r="E5" s="20"/>
      <c r="F5" s="20"/>
      <c r="G5" s="20"/>
      <c r="H5" s="20"/>
      <c r="I5" s="117"/>
      <c r="L5" s="5"/>
    </row>
    <row r="6" spans="1:12" ht="15">
      <c r="A6" s="20" t="s">
        <v>21</v>
      </c>
      <c r="B6" s="23" t="s">
        <v>1</v>
      </c>
      <c r="C6" s="20"/>
      <c r="D6" s="20"/>
      <c r="E6" s="20"/>
      <c r="F6" s="20"/>
      <c r="G6" s="20"/>
      <c r="H6" s="24"/>
      <c r="I6" s="118"/>
      <c r="L6" s="5"/>
    </row>
    <row r="7" spans="1:12" ht="15">
      <c r="A7" s="20"/>
      <c r="B7" s="23"/>
      <c r="C7" s="20"/>
      <c r="D7" s="20"/>
      <c r="E7" s="20"/>
      <c r="F7" s="20"/>
      <c r="G7" s="20"/>
      <c r="H7" s="24"/>
      <c r="I7" s="118"/>
      <c r="L7" s="5"/>
    </row>
    <row r="8" spans="1:12" ht="15">
      <c r="A8" s="20"/>
      <c r="B8" s="23"/>
      <c r="C8" s="20"/>
      <c r="D8" s="20"/>
      <c r="E8" s="20"/>
      <c r="F8" s="20"/>
      <c r="G8" s="20"/>
      <c r="H8" s="177"/>
      <c r="I8" s="118"/>
      <c r="L8" s="5"/>
    </row>
    <row r="9" spans="1:12" ht="15">
      <c r="A9" s="20"/>
      <c r="B9" s="19" t="s">
        <v>134</v>
      </c>
      <c r="C9" s="19"/>
      <c r="D9" s="19"/>
      <c r="E9" s="19"/>
      <c r="F9" s="19"/>
      <c r="G9" s="19"/>
      <c r="H9" s="178"/>
      <c r="I9" s="117"/>
      <c r="L9" s="5"/>
    </row>
    <row r="10" spans="1:12" ht="15">
      <c r="A10" s="71">
        <f>+'[1]IT12 1'!I13</f>
        <v>3601</v>
      </c>
      <c r="B10" s="19" t="s">
        <v>146</v>
      </c>
      <c r="C10" s="19"/>
      <c r="D10" s="19"/>
      <c r="E10" s="19"/>
      <c r="F10" s="19"/>
      <c r="G10" s="19"/>
      <c r="H10" s="172"/>
      <c r="I10" s="170">
        <v>0</v>
      </c>
      <c r="L10" s="5"/>
    </row>
    <row r="11" spans="1:12" ht="15">
      <c r="A11" s="71">
        <v>3605</v>
      </c>
      <c r="B11" s="19" t="s">
        <v>31</v>
      </c>
      <c r="C11" s="19"/>
      <c r="D11" s="19"/>
      <c r="E11" s="19"/>
      <c r="F11" s="19"/>
      <c r="G11" s="19"/>
      <c r="H11" s="172"/>
      <c r="I11" s="117"/>
      <c r="L11" s="5"/>
    </row>
    <row r="12" spans="1:12" ht="15">
      <c r="A12" s="71">
        <v>3610</v>
      </c>
      <c r="B12" s="19" t="s">
        <v>172</v>
      </c>
      <c r="C12" s="19"/>
      <c r="D12" s="19"/>
      <c r="E12" s="19"/>
      <c r="F12" s="19"/>
      <c r="G12" s="19"/>
      <c r="H12" s="172"/>
      <c r="I12" s="170"/>
      <c r="J12" s="171"/>
      <c r="L12" s="5"/>
    </row>
    <row r="13" spans="1:12" ht="15">
      <c r="A13" s="71">
        <v>3915</v>
      </c>
      <c r="B13" s="19" t="s">
        <v>157</v>
      </c>
      <c r="C13" s="19"/>
      <c r="D13" s="19"/>
      <c r="E13" s="19"/>
      <c r="F13" s="19"/>
      <c r="G13" s="19"/>
      <c r="H13" s="172"/>
      <c r="I13" s="170"/>
      <c r="L13" s="5"/>
    </row>
    <row r="14" spans="1:12" ht="15">
      <c r="A14" s="71">
        <f>+'[1]IT12 1'!I14</f>
        <v>3701</v>
      </c>
      <c r="B14" s="19" t="s">
        <v>22</v>
      </c>
      <c r="C14" s="19"/>
      <c r="D14" s="19"/>
      <c r="E14" s="19"/>
      <c r="F14" s="19"/>
      <c r="G14" s="19"/>
      <c r="H14" s="178"/>
      <c r="I14" s="117"/>
      <c r="L14" s="5"/>
    </row>
    <row r="15" spans="1:12" ht="15">
      <c r="A15" s="71">
        <v>3808</v>
      </c>
      <c r="B15" s="19" t="s">
        <v>162</v>
      </c>
      <c r="C15" s="19"/>
      <c r="D15" s="19"/>
      <c r="E15" s="19"/>
      <c r="F15" s="19"/>
      <c r="G15" s="19"/>
      <c r="H15" s="178"/>
      <c r="I15" s="117"/>
      <c r="L15" s="5"/>
    </row>
    <row r="16" spans="1:12" ht="15">
      <c r="A16" s="71">
        <v>3705</v>
      </c>
      <c r="B16" s="19" t="s">
        <v>92</v>
      </c>
      <c r="C16" s="19"/>
      <c r="D16" s="19"/>
      <c r="E16" s="19"/>
      <c r="F16" s="19"/>
      <c r="G16" s="19"/>
      <c r="H16" s="178"/>
      <c r="I16" s="117"/>
      <c r="L16" s="5"/>
    </row>
    <row r="17" spans="1:12" ht="15">
      <c r="A17" s="71">
        <v>3702</v>
      </c>
      <c r="B17" s="19" t="s">
        <v>150</v>
      </c>
      <c r="C17" s="19"/>
      <c r="D17" s="19"/>
      <c r="E17" s="19"/>
      <c r="F17" s="19"/>
      <c r="G17" s="19"/>
      <c r="H17" s="178"/>
      <c r="I17" s="117"/>
      <c r="L17" s="5"/>
    </row>
    <row r="18" spans="1:12" ht="15">
      <c r="A18" s="71">
        <v>3810</v>
      </c>
      <c r="B18" s="19" t="s">
        <v>148</v>
      </c>
      <c r="C18" s="19"/>
      <c r="D18" s="19"/>
      <c r="E18" s="19"/>
      <c r="F18" s="19"/>
      <c r="G18" s="19"/>
      <c r="H18" s="172"/>
      <c r="I18" s="117"/>
      <c r="J18" s="256" t="s">
        <v>181</v>
      </c>
      <c r="K18" s="256"/>
      <c r="L18" s="256"/>
    </row>
    <row r="19" spans="1:12" ht="15">
      <c r="A19" s="114">
        <v>3802</v>
      </c>
      <c r="B19" s="35" t="s">
        <v>226</v>
      </c>
      <c r="C19" s="35"/>
      <c r="D19" s="35"/>
      <c r="E19" s="35"/>
      <c r="F19" s="35"/>
      <c r="G19" s="35"/>
      <c r="H19" s="172"/>
      <c r="I19" s="117"/>
      <c r="J19" s="123"/>
      <c r="K19" s="123"/>
      <c r="L19" s="124"/>
    </row>
    <row r="20" spans="1:12" ht="15">
      <c r="A20" s="115">
        <v>3801</v>
      </c>
      <c r="B20" s="128" t="s">
        <v>177</v>
      </c>
      <c r="C20" s="115"/>
      <c r="D20" s="115"/>
      <c r="E20" s="35"/>
      <c r="F20" s="35"/>
      <c r="G20" s="35"/>
      <c r="H20" s="172"/>
      <c r="I20" s="117"/>
      <c r="J20" s="123"/>
      <c r="K20" s="123"/>
      <c r="L20" s="124"/>
    </row>
    <row r="21" spans="1:12" ht="15">
      <c r="A21" s="115">
        <v>3606</v>
      </c>
      <c r="B21" s="116" t="s">
        <v>161</v>
      </c>
      <c r="C21" s="115"/>
      <c r="D21" s="115"/>
      <c r="E21" s="35"/>
      <c r="F21" s="35"/>
      <c r="G21" s="35"/>
      <c r="H21" s="172"/>
      <c r="I21" s="117"/>
      <c r="J21" s="175"/>
      <c r="K21" s="175"/>
      <c r="L21" s="124"/>
    </row>
    <row r="22" spans="1:12" ht="15">
      <c r="A22" s="115">
        <v>3915</v>
      </c>
      <c r="B22" s="116" t="s">
        <v>177</v>
      </c>
      <c r="C22" s="115"/>
      <c r="D22" s="115"/>
      <c r="E22" s="35"/>
      <c r="F22" s="35"/>
      <c r="G22" s="35"/>
      <c r="H22" s="172"/>
      <c r="I22" s="117"/>
      <c r="J22" s="175"/>
      <c r="K22" s="175"/>
      <c r="L22" s="124"/>
    </row>
    <row r="23" spans="1:12" ht="15">
      <c r="A23" s="115">
        <v>4214</v>
      </c>
      <c r="B23" s="128" t="s">
        <v>208</v>
      </c>
      <c r="C23" s="115"/>
      <c r="D23" s="115"/>
      <c r="E23" s="35"/>
      <c r="F23" s="35"/>
      <c r="G23" s="35"/>
      <c r="H23" s="179">
        <f>+Dividends!F32</f>
        <v>0</v>
      </c>
      <c r="I23" s="117"/>
      <c r="J23" s="175"/>
      <c r="K23" s="175"/>
      <c r="L23" s="124"/>
    </row>
    <row r="24" spans="1:12" ht="15">
      <c r="A24" s="20">
        <v>4201</v>
      </c>
      <c r="B24" s="19" t="s">
        <v>57</v>
      </c>
      <c r="C24" s="19"/>
      <c r="D24" s="19"/>
      <c r="E24" s="19"/>
      <c r="F24" s="19"/>
      <c r="G24" s="19"/>
      <c r="H24" s="172"/>
      <c r="I24" s="117"/>
      <c r="J24" s="175"/>
      <c r="K24" s="175"/>
      <c r="L24" s="124"/>
    </row>
    <row r="25" spans="1:12" ht="15">
      <c r="A25" s="20">
        <v>4218</v>
      </c>
      <c r="B25" s="19" t="s">
        <v>219</v>
      </c>
      <c r="C25" s="19"/>
      <c r="D25" s="19"/>
      <c r="E25" s="19"/>
      <c r="F25" s="19"/>
      <c r="G25" s="19"/>
      <c r="H25" s="179">
        <f>+Dividends!F46</f>
        <v>0</v>
      </c>
      <c r="I25" s="117"/>
      <c r="J25" s="175"/>
      <c r="K25" s="175"/>
      <c r="L25" s="124"/>
    </row>
    <row r="26" spans="1:12" ht="15">
      <c r="A26" s="20">
        <v>4216</v>
      </c>
      <c r="B26" s="19" t="s">
        <v>220</v>
      </c>
      <c r="C26" s="19"/>
      <c r="D26" s="19"/>
      <c r="E26" s="19"/>
      <c r="F26" s="19"/>
      <c r="G26" s="19"/>
      <c r="H26" s="174">
        <f>+Dividends!F60</f>
        <v>0</v>
      </c>
      <c r="I26" s="117"/>
      <c r="J26" s="175"/>
      <c r="K26" s="175"/>
      <c r="L26" s="124"/>
    </row>
    <row r="27" spans="1:12" ht="15">
      <c r="A27" s="20">
        <f>IF(H27&gt;0,4210,4211)</f>
        <v>4211</v>
      </c>
      <c r="B27" s="19" t="s">
        <v>23</v>
      </c>
      <c r="C27" s="19"/>
      <c r="D27" s="19"/>
      <c r="E27" s="19"/>
      <c r="F27" s="19"/>
      <c r="G27" s="19"/>
      <c r="H27" s="179">
        <f>+'Rental IS'!E21</f>
        <v>0</v>
      </c>
      <c r="I27" s="117"/>
      <c r="J27" s="123"/>
      <c r="K27" s="123"/>
      <c r="L27" s="124"/>
    </row>
    <row r="28" spans="1:12" ht="15">
      <c r="A28" s="20"/>
      <c r="B28" s="19" t="s">
        <v>50</v>
      </c>
      <c r="C28" s="19"/>
      <c r="D28" s="19"/>
      <c r="E28" s="19"/>
      <c r="F28" s="19"/>
      <c r="G28" s="19"/>
      <c r="H28" s="176">
        <f>IF('Capital Gains'!C20&gt;0,'Capital Gains'!C20,0)</f>
        <v>0</v>
      </c>
      <c r="I28" s="117"/>
      <c r="J28" s="123"/>
      <c r="K28" s="123"/>
      <c r="L28" s="124"/>
    </row>
    <row r="29" spans="1:12" ht="15">
      <c r="A29" s="20"/>
      <c r="B29" s="19" t="s">
        <v>2</v>
      </c>
      <c r="C29" s="19"/>
      <c r="D29" s="19"/>
      <c r="E29" s="19"/>
      <c r="F29" s="19"/>
      <c r="G29" s="19"/>
      <c r="H29" s="179">
        <f>'IS'!E47</f>
        <v>0</v>
      </c>
      <c r="I29" s="117"/>
      <c r="J29" s="123"/>
      <c r="K29" s="123"/>
      <c r="L29" s="124"/>
    </row>
    <row r="30" spans="1:12" ht="15">
      <c r="A30" s="20"/>
      <c r="B30" s="19"/>
      <c r="C30" s="19"/>
      <c r="D30" s="19"/>
      <c r="E30" s="19"/>
      <c r="F30" s="19"/>
      <c r="G30" s="19"/>
      <c r="H30" s="64"/>
      <c r="I30" s="117"/>
      <c r="J30" s="123"/>
      <c r="K30" s="123"/>
      <c r="L30" s="124"/>
    </row>
    <row r="31" spans="1:12" ht="15">
      <c r="A31" s="20"/>
      <c r="B31" s="25" t="s">
        <v>3</v>
      </c>
      <c r="C31" s="19"/>
      <c r="D31" s="19"/>
      <c r="E31" s="19"/>
      <c r="F31" s="19"/>
      <c r="G31" s="19"/>
      <c r="H31" s="19">
        <f>SUM(H9:H30)</f>
        <v>0</v>
      </c>
      <c r="I31" s="117"/>
      <c r="J31" s="125"/>
      <c r="K31" s="125"/>
      <c r="L31" s="124"/>
    </row>
    <row r="32" spans="1:12" ht="15">
      <c r="A32" s="20"/>
      <c r="B32" s="25"/>
      <c r="C32" s="19"/>
      <c r="D32" s="19"/>
      <c r="E32" s="19"/>
      <c r="F32" s="19"/>
      <c r="G32" s="19"/>
      <c r="H32" s="19"/>
      <c r="I32" s="117"/>
      <c r="J32" s="123"/>
      <c r="K32" s="123"/>
      <c r="L32" s="124"/>
    </row>
    <row r="33" spans="1:12" ht="15">
      <c r="A33" s="20"/>
      <c r="B33" s="25" t="s">
        <v>4</v>
      </c>
      <c r="C33" s="19" t="s">
        <v>59</v>
      </c>
      <c r="D33" s="19"/>
      <c r="E33" s="19"/>
      <c r="F33" s="19"/>
      <c r="G33" s="19"/>
      <c r="H33" s="176" t="e">
        <f>IF('TP Info'!C9&lt;65,IF(Taxcalc!H24&gt;Refernce!D5,-Refernce!D5,-Taxcalc!H24),IF(Taxcalc!H24&gt;Refernce!D6,-Refernce!D6,-Taxcalc!H24))</f>
        <v>#NUM!</v>
      </c>
      <c r="I33" s="117"/>
      <c r="J33" s="123"/>
      <c r="K33" s="123"/>
      <c r="L33" s="124"/>
    </row>
    <row r="34" spans="1:12" ht="15">
      <c r="A34" s="20"/>
      <c r="B34" s="25"/>
      <c r="C34" s="19" t="s">
        <v>60</v>
      </c>
      <c r="D34" s="19"/>
      <c r="E34" s="19"/>
      <c r="F34" s="19"/>
      <c r="G34" s="19"/>
      <c r="H34" s="19">
        <f>-Dividends!F68</f>
        <v>0</v>
      </c>
      <c r="I34" s="117"/>
      <c r="J34" s="123"/>
      <c r="K34" s="123"/>
      <c r="L34" s="124"/>
    </row>
    <row r="35" spans="1:12" ht="15">
      <c r="A35" s="20"/>
      <c r="B35" s="25"/>
      <c r="C35" s="19" t="s">
        <v>5</v>
      </c>
      <c r="D35" s="19"/>
      <c r="E35" s="19"/>
      <c r="F35" s="19"/>
      <c r="G35" s="19"/>
      <c r="H35" s="19"/>
      <c r="I35" s="117"/>
      <c r="J35" s="126">
        <f>IF(J27&gt;Refernce!F8,-Refernce!F8,-J27)</f>
        <v>0</v>
      </c>
      <c r="K35" s="123"/>
      <c r="L35" s="124"/>
    </row>
    <row r="36" spans="1:12" ht="15">
      <c r="A36" s="20"/>
      <c r="B36" s="25"/>
      <c r="C36" s="19"/>
      <c r="D36" s="19"/>
      <c r="E36" s="19"/>
      <c r="F36" s="19"/>
      <c r="G36" s="19"/>
      <c r="H36" s="26"/>
      <c r="I36" s="117"/>
      <c r="J36" s="123"/>
      <c r="K36" s="123"/>
      <c r="L36" s="124"/>
    </row>
    <row r="37" spans="1:12" ht="15">
      <c r="A37" s="20"/>
      <c r="B37" s="25"/>
      <c r="C37" s="19"/>
      <c r="D37" s="19"/>
      <c r="E37" s="19"/>
      <c r="F37" s="19"/>
      <c r="G37" s="19"/>
      <c r="H37" s="19" t="e">
        <f>SUM(H31:H36)</f>
        <v>#NUM!</v>
      </c>
      <c r="I37" s="117"/>
      <c r="J37" s="123"/>
      <c r="K37" s="123"/>
      <c r="L37" s="124"/>
    </row>
    <row r="38" spans="1:12" ht="15">
      <c r="A38" s="20"/>
      <c r="B38" s="27" t="s">
        <v>6</v>
      </c>
      <c r="C38" s="28"/>
      <c r="D38" s="28"/>
      <c r="E38" s="28"/>
      <c r="F38" s="28"/>
      <c r="G38" s="28"/>
      <c r="H38" s="28"/>
      <c r="J38" s="123"/>
      <c r="K38" s="123"/>
      <c r="L38" s="124"/>
    </row>
    <row r="39" spans="1:12" ht="15">
      <c r="A39" s="20"/>
      <c r="B39" s="28"/>
      <c r="C39" s="28"/>
      <c r="D39" s="28"/>
      <c r="E39" s="28"/>
      <c r="F39" s="28"/>
      <c r="G39" s="28"/>
      <c r="H39" s="176"/>
      <c r="J39" s="123"/>
      <c r="K39" s="123"/>
      <c r="L39" s="124"/>
    </row>
    <row r="40" spans="1:12" ht="12.75">
      <c r="A40" s="20">
        <v>4001</v>
      </c>
      <c r="B40" s="28" t="s">
        <v>141</v>
      </c>
      <c r="C40" s="28"/>
      <c r="D40" s="28"/>
      <c r="E40" s="28"/>
      <c r="F40" s="28"/>
      <c r="G40" s="28"/>
      <c r="H40" s="172">
        <v>0</v>
      </c>
      <c r="J40" s="123"/>
      <c r="K40" s="123"/>
      <c r="L40" s="124"/>
    </row>
    <row r="41" spans="1:12" ht="12.75">
      <c r="A41" s="20">
        <v>4002</v>
      </c>
      <c r="B41" s="28" t="s">
        <v>140</v>
      </c>
      <c r="C41" s="28"/>
      <c r="D41" s="28"/>
      <c r="E41" s="28"/>
      <c r="F41" s="28"/>
      <c r="G41" s="28"/>
      <c r="H41" s="178">
        <v>0</v>
      </c>
      <c r="J41" s="123"/>
      <c r="K41" s="123"/>
      <c r="L41" s="124"/>
    </row>
    <row r="42" spans="1:12" ht="12.75">
      <c r="A42" s="20">
        <v>4006</v>
      </c>
      <c r="B42" s="28" t="s">
        <v>24</v>
      </c>
      <c r="C42" s="28"/>
      <c r="D42" s="28"/>
      <c r="E42" s="28"/>
      <c r="F42" s="28"/>
      <c r="G42" s="28"/>
      <c r="H42" s="172"/>
      <c r="I42" s="223"/>
      <c r="J42" s="127"/>
      <c r="K42" s="127"/>
      <c r="L42" s="127"/>
    </row>
    <row r="43" spans="1:12" ht="12.75">
      <c r="A43" s="20">
        <v>4007</v>
      </c>
      <c r="B43" s="28" t="s">
        <v>25</v>
      </c>
      <c r="C43" s="28"/>
      <c r="D43" s="28"/>
      <c r="E43" s="28"/>
      <c r="F43" s="28"/>
      <c r="G43" s="28"/>
      <c r="H43" s="178">
        <v>0</v>
      </c>
      <c r="J43" s="123"/>
      <c r="K43" s="123"/>
      <c r="L43" s="123"/>
    </row>
    <row r="44" spans="1:12" ht="12.75">
      <c r="A44" s="20">
        <v>4014</v>
      </c>
      <c r="B44" s="28" t="s">
        <v>58</v>
      </c>
      <c r="C44" s="28"/>
      <c r="D44" s="28"/>
      <c r="E44" s="28"/>
      <c r="F44" s="28"/>
      <c r="G44" s="28"/>
      <c r="H44" s="174">
        <f>IF('IT 12 4'!I45&gt;Taxcalc!H14,-Taxcalc!H14,-'IT 12 4'!I45)</f>
        <v>0</v>
      </c>
      <c r="I44" s="160"/>
      <c r="J44" s="123"/>
      <c r="K44" s="123"/>
      <c r="L44" s="123"/>
    </row>
    <row r="45" spans="1:12" ht="12.75">
      <c r="A45" s="20">
        <v>4016</v>
      </c>
      <c r="B45" s="28" t="s">
        <v>26</v>
      </c>
      <c r="C45" s="28"/>
      <c r="D45" s="28"/>
      <c r="E45" s="28"/>
      <c r="F45" s="28"/>
      <c r="G45" s="28"/>
      <c r="H45" s="178">
        <v>0</v>
      </c>
      <c r="J45" s="123"/>
      <c r="K45" s="123"/>
      <c r="L45" s="123"/>
    </row>
    <row r="46" spans="1:12" ht="12.75">
      <c r="A46" s="20">
        <v>3704</v>
      </c>
      <c r="B46" s="28" t="s">
        <v>147</v>
      </c>
      <c r="C46" s="28"/>
      <c r="D46" s="28"/>
      <c r="E46" s="28"/>
      <c r="F46" s="28"/>
      <c r="G46" s="28"/>
      <c r="H46" s="36">
        <f>-H15</f>
        <v>0</v>
      </c>
      <c r="J46" s="123"/>
      <c r="K46" s="123"/>
      <c r="L46" s="123"/>
    </row>
    <row r="47" spans="1:12" ht="12.75">
      <c r="A47" s="20">
        <v>3705</v>
      </c>
      <c r="B47" s="28" t="s">
        <v>149</v>
      </c>
      <c r="C47" s="28"/>
      <c r="D47" s="28"/>
      <c r="E47" s="28"/>
      <c r="F47" s="28"/>
      <c r="G47" s="28"/>
      <c r="H47" s="36">
        <v>0</v>
      </c>
      <c r="J47" s="123"/>
      <c r="K47" s="123"/>
      <c r="L47" s="123"/>
    </row>
    <row r="48" spans="1:12" ht="12.75">
      <c r="A48" s="43">
        <v>0</v>
      </c>
      <c r="B48" s="36" t="s">
        <v>95</v>
      </c>
      <c r="C48" s="28"/>
      <c r="D48" s="28"/>
      <c r="E48" s="28"/>
      <c r="F48" s="28"/>
      <c r="G48" s="28"/>
      <c r="H48" s="36">
        <v>0</v>
      </c>
      <c r="J48" s="123"/>
      <c r="K48" s="123"/>
      <c r="L48" s="123"/>
    </row>
    <row r="49" spans="1:12" ht="12.75">
      <c r="A49" s="43">
        <v>3714</v>
      </c>
      <c r="B49" s="36" t="s">
        <v>26</v>
      </c>
      <c r="C49" s="28"/>
      <c r="D49" s="28"/>
      <c r="E49" s="28"/>
      <c r="F49" s="28"/>
      <c r="G49" s="28"/>
      <c r="H49" s="36">
        <v>0</v>
      </c>
      <c r="J49" s="123"/>
      <c r="K49" s="123"/>
      <c r="L49" s="123"/>
    </row>
    <row r="50" spans="1:12" ht="15">
      <c r="A50" s="43">
        <v>0</v>
      </c>
      <c r="B50" s="36" t="s">
        <v>26</v>
      </c>
      <c r="C50" s="28"/>
      <c r="D50" s="28"/>
      <c r="E50" s="28"/>
      <c r="F50" s="28"/>
      <c r="G50" s="28"/>
      <c r="H50" s="36">
        <v>0</v>
      </c>
      <c r="J50" s="123"/>
      <c r="K50" s="123"/>
      <c r="L50" s="123"/>
    </row>
    <row r="51" spans="1:12" ht="15">
      <c r="A51" s="20"/>
      <c r="B51" s="28"/>
      <c r="C51" s="28"/>
      <c r="D51" s="28"/>
      <c r="E51" s="28"/>
      <c r="F51" s="28"/>
      <c r="G51" s="28"/>
      <c r="H51" s="31"/>
      <c r="I51" s="183"/>
      <c r="J51" s="123"/>
      <c r="K51" s="123"/>
      <c r="L51" s="123"/>
    </row>
    <row r="52" spans="1:8" ht="15">
      <c r="A52" s="20"/>
      <c r="B52" s="30"/>
      <c r="C52" s="28"/>
      <c r="D52" s="28"/>
      <c r="E52" s="28"/>
      <c r="F52" s="28"/>
      <c r="G52" s="28"/>
      <c r="H52" s="28"/>
    </row>
    <row r="53" spans="1:11" ht="13.8" thickBot="1">
      <c r="A53" s="20"/>
      <c r="B53" s="27" t="s">
        <v>7</v>
      </c>
      <c r="C53" s="28"/>
      <c r="D53" s="28"/>
      <c r="E53" s="28"/>
      <c r="F53" s="28"/>
      <c r="G53" s="28"/>
      <c r="H53" s="32" t="e">
        <f>SUM(H37:H51)</f>
        <v>#NUM!</v>
      </c>
      <c r="I53" s="120"/>
      <c r="J53" s="5"/>
      <c r="K53" s="5"/>
    </row>
    <row r="54" spans="1:8" ht="13.8" thickTop="1">
      <c r="A54" s="20"/>
      <c r="B54" s="28"/>
      <c r="C54" s="28"/>
      <c r="D54" s="28"/>
      <c r="E54" s="28"/>
      <c r="F54" s="28"/>
      <c r="G54" s="28"/>
      <c r="H54" s="31"/>
    </row>
    <row r="55" spans="1:8" ht="15">
      <c r="A55" s="20"/>
      <c r="B55" s="28"/>
      <c r="C55" s="28"/>
      <c r="D55" s="28"/>
      <c r="E55" s="28"/>
      <c r="F55" s="28"/>
      <c r="G55" s="28"/>
      <c r="H55" s="28"/>
    </row>
    <row r="56" spans="1:8" ht="15">
      <c r="A56" s="20"/>
      <c r="B56" s="27" t="s">
        <v>8</v>
      </c>
      <c r="C56" s="28"/>
      <c r="D56" s="28"/>
      <c r="E56" s="28"/>
      <c r="F56" s="28"/>
      <c r="G56" s="28"/>
      <c r="H56" s="28"/>
    </row>
    <row r="57" spans="1:7" ht="15">
      <c r="A57" s="20"/>
      <c r="B57" s="28"/>
      <c r="C57" s="28"/>
      <c r="D57" s="28"/>
      <c r="E57" s="28"/>
      <c r="F57" s="28"/>
      <c r="G57" s="28"/>
    </row>
    <row r="58" spans="1:11" ht="15">
      <c r="A58" s="20"/>
      <c r="B58" s="28" t="s">
        <v>9</v>
      </c>
      <c r="C58" s="28"/>
      <c r="D58" s="28" t="e">
        <f>H53</f>
        <v>#NUM!</v>
      </c>
      <c r="E58" s="28"/>
      <c r="F58" s="28"/>
      <c r="G58" s="28"/>
      <c r="H58" s="143" t="e">
        <f>HLOOKUP(H53,Refernce!A20:G22,2)+((+H53-HLOOKUP(+H53,Refernce!A20:G22,1))*(HLOOKUP(+H53,Refernce!A20:G22,3)))</f>
        <v>#NUM!</v>
      </c>
      <c r="I58" s="120"/>
      <c r="J58" s="5"/>
      <c r="K58" s="5"/>
    </row>
    <row r="59" spans="1:11" ht="15">
      <c r="A59" s="20"/>
      <c r="B59" s="28" t="s">
        <v>256</v>
      </c>
      <c r="C59" s="28"/>
      <c r="D59" s="28"/>
      <c r="E59" s="28"/>
      <c r="F59" s="28"/>
      <c r="G59" s="28"/>
      <c r="H59" s="5">
        <f>+Retrenchment!C36</f>
        <v>0</v>
      </c>
      <c r="I59" s="120"/>
      <c r="J59" s="5"/>
      <c r="K59" s="5"/>
    </row>
    <row r="60" spans="1:11" ht="15">
      <c r="A60" s="20"/>
      <c r="B60" s="28" t="s">
        <v>263</v>
      </c>
      <c r="C60" s="28"/>
      <c r="D60" s="28"/>
      <c r="E60" s="28"/>
      <c r="F60" s="28"/>
      <c r="G60" s="28"/>
      <c r="H60" s="5">
        <f>+'Pension etc'!C36</f>
        <v>0</v>
      </c>
      <c r="I60" s="120"/>
      <c r="J60" s="5"/>
      <c r="K60" s="5"/>
    </row>
    <row r="61" spans="1:11" ht="15">
      <c r="A61" s="20"/>
      <c r="B61" s="28" t="s">
        <v>264</v>
      </c>
      <c r="C61" s="28"/>
      <c r="D61" s="28"/>
      <c r="E61" s="28"/>
      <c r="F61" s="28"/>
      <c r="G61" s="28"/>
      <c r="H61" s="5">
        <f>+'Pension etc'!K36</f>
        <v>0</v>
      </c>
      <c r="I61" s="120"/>
      <c r="J61" s="5"/>
      <c r="K61" s="5"/>
    </row>
    <row r="62" spans="1:8" ht="15">
      <c r="A62" s="20"/>
      <c r="B62" s="28"/>
      <c r="C62" s="28"/>
      <c r="D62" s="28"/>
      <c r="E62" s="28"/>
      <c r="F62" s="28"/>
      <c r="G62" s="28"/>
      <c r="H62" s="28"/>
    </row>
    <row r="63" spans="1:8" ht="15">
      <c r="A63" s="20"/>
      <c r="B63" s="27" t="s">
        <v>10</v>
      </c>
      <c r="C63" s="28"/>
      <c r="D63" s="28"/>
      <c r="E63" s="28"/>
      <c r="F63" s="28"/>
      <c r="G63" s="28"/>
      <c r="H63" s="28"/>
    </row>
    <row r="64" spans="1:11" ht="15">
      <c r="A64" s="20"/>
      <c r="B64" s="28" t="s">
        <v>11</v>
      </c>
      <c r="C64" s="28"/>
      <c r="D64" s="28"/>
      <c r="E64" s="28"/>
      <c r="F64" s="28"/>
      <c r="G64" s="28"/>
      <c r="H64" s="28">
        <f>-Refernce!D8</f>
        <v>-17235</v>
      </c>
      <c r="I64" s="121"/>
      <c r="J64" s="28"/>
      <c r="K64" s="28"/>
    </row>
    <row r="65" spans="1:15" ht="15">
      <c r="A65" s="20"/>
      <c r="B65" s="28" t="s">
        <v>12</v>
      </c>
      <c r="C65" s="28"/>
      <c r="D65" s="28"/>
      <c r="E65" s="28"/>
      <c r="F65" s="28"/>
      <c r="G65" s="28"/>
      <c r="H65" s="28" t="e">
        <f>IF('TP Info'!C9&lt;65,0,-Refernce!D9)</f>
        <v>#NUM!</v>
      </c>
      <c r="I65" s="120"/>
      <c r="J65" s="4"/>
      <c r="K65" s="4"/>
      <c r="L65" s="4"/>
      <c r="M65" s="4"/>
      <c r="N65" s="4"/>
      <c r="O65" s="4"/>
    </row>
    <row r="66" spans="1:15" ht="15">
      <c r="A66" s="20"/>
      <c r="B66" s="30" t="s">
        <v>180</v>
      </c>
      <c r="C66" s="28"/>
      <c r="D66" s="28"/>
      <c r="E66" s="28"/>
      <c r="F66" s="28"/>
      <c r="G66" s="28"/>
      <c r="H66" s="28" t="e">
        <f>IF('TP Info'!C9&lt;75,0,-Refernce!D10)</f>
        <v>#NUM!</v>
      </c>
      <c r="I66" s="184"/>
      <c r="J66" s="4"/>
      <c r="K66" s="4"/>
      <c r="L66" s="4"/>
      <c r="M66" s="4"/>
      <c r="N66" s="4"/>
      <c r="O66" s="4"/>
    </row>
    <row r="67" spans="1:15" ht="15">
      <c r="A67" s="20"/>
      <c r="B67" s="30" t="s">
        <v>288</v>
      </c>
      <c r="C67" s="28"/>
      <c r="D67" s="28"/>
      <c r="E67" s="28"/>
      <c r="F67" s="28"/>
      <c r="G67" s="28"/>
      <c r="H67" s="174" t="e">
        <f>-'Med Aid'!H8-'Med Aid'!M8</f>
        <v>#NUM!</v>
      </c>
      <c r="I67" s="184"/>
      <c r="J67" s="4"/>
      <c r="K67" s="4"/>
      <c r="L67" s="4"/>
      <c r="M67" s="4"/>
      <c r="N67" s="4"/>
      <c r="O67" s="4"/>
    </row>
    <row r="68" spans="1:15" ht="15">
      <c r="A68" s="20"/>
      <c r="B68" s="30" t="s">
        <v>289</v>
      </c>
      <c r="C68" s="28"/>
      <c r="D68" s="28"/>
      <c r="E68" s="28"/>
      <c r="F68" s="28"/>
      <c r="G68" s="28"/>
      <c r="H68" s="174" t="e">
        <f>-'Med Aid'!H9-'Med Aid'!M9</f>
        <v>#NUM!</v>
      </c>
      <c r="I68" s="184"/>
      <c r="J68" s="4"/>
      <c r="K68" s="4"/>
      <c r="L68" s="4"/>
      <c r="M68" s="4"/>
      <c r="N68" s="4"/>
      <c r="O68" s="4"/>
    </row>
    <row r="69" spans="1:15" ht="15">
      <c r="A69" s="20"/>
      <c r="B69" s="30" t="s">
        <v>296</v>
      </c>
      <c r="C69" s="28"/>
      <c r="D69" s="28"/>
      <c r="E69" s="28"/>
      <c r="F69" s="28"/>
      <c r="G69" s="28"/>
      <c r="H69" s="231">
        <f>-IF('TP Info'!F46&gt;15000,15000,'TP Info'!F46)</f>
        <v>0</v>
      </c>
      <c r="I69" s="184"/>
      <c r="J69" s="4"/>
      <c r="K69" s="4"/>
      <c r="L69" s="4"/>
      <c r="M69" s="4"/>
      <c r="N69" s="4"/>
      <c r="O69" s="4"/>
    </row>
    <row r="70" spans="1:15" ht="15">
      <c r="A70" s="20"/>
      <c r="B70" s="28"/>
      <c r="C70" s="28"/>
      <c r="D70" s="28"/>
      <c r="E70" s="28"/>
      <c r="F70" s="28"/>
      <c r="G70" s="28"/>
      <c r="H70" s="29"/>
      <c r="J70" s="4"/>
      <c r="K70" s="4"/>
      <c r="L70" s="4"/>
      <c r="M70" s="4"/>
      <c r="N70" s="4"/>
      <c r="O70" s="4"/>
    </row>
    <row r="71" spans="1:15" ht="15">
      <c r="A71" s="20"/>
      <c r="B71" s="28"/>
      <c r="C71" s="28"/>
      <c r="D71" s="28"/>
      <c r="E71" s="28"/>
      <c r="F71" s="28"/>
      <c r="G71" s="28"/>
      <c r="H71" s="28" t="e">
        <f>IF(SUM(H56:H70)&gt;0,SUM(H56:H70),0)</f>
        <v>#NUM!</v>
      </c>
      <c r="I71" s="121"/>
      <c r="J71" s="4"/>
      <c r="K71" s="4"/>
      <c r="L71" s="4"/>
      <c r="M71" s="4"/>
      <c r="N71" s="4"/>
      <c r="O71" s="4"/>
    </row>
    <row r="72" spans="1:10" ht="15">
      <c r="A72" s="20"/>
      <c r="B72" s="28"/>
      <c r="C72" s="28"/>
      <c r="D72" s="28"/>
      <c r="E72" s="28"/>
      <c r="F72" s="28"/>
      <c r="G72" s="28"/>
      <c r="H72" s="28"/>
      <c r="J72" s="224"/>
    </row>
    <row r="73" spans="1:11" ht="15">
      <c r="A73" s="20"/>
      <c r="B73" s="28" t="s">
        <v>13</v>
      </c>
      <c r="C73" s="28" t="s">
        <v>14</v>
      </c>
      <c r="D73" s="28"/>
      <c r="E73" s="28"/>
      <c r="F73" s="28"/>
      <c r="G73" s="28"/>
      <c r="H73" s="172"/>
      <c r="I73" s="173"/>
      <c r="J73" s="225"/>
      <c r="K73" s="171"/>
    </row>
    <row r="74" spans="1:10" ht="15">
      <c r="A74" s="20"/>
      <c r="B74" s="28"/>
      <c r="C74" s="195" t="s">
        <v>255</v>
      </c>
      <c r="D74" s="28"/>
      <c r="E74" s="28"/>
      <c r="F74" s="28"/>
      <c r="G74" s="28"/>
      <c r="H74" s="144">
        <v>0</v>
      </c>
      <c r="I74" s="120"/>
      <c r="J74" s="5"/>
    </row>
    <row r="75" spans="1:10" ht="15">
      <c r="A75" s="20"/>
      <c r="B75" s="28"/>
      <c r="C75" s="195" t="s">
        <v>265</v>
      </c>
      <c r="D75" s="28"/>
      <c r="E75" s="28"/>
      <c r="F75" s="28"/>
      <c r="G75" s="28"/>
      <c r="H75" s="144"/>
      <c r="I75" s="120"/>
      <c r="J75" s="5"/>
    </row>
    <row r="76" spans="1:10" ht="15">
      <c r="A76" s="20"/>
      <c r="B76" s="28"/>
      <c r="C76" s="195" t="s">
        <v>266</v>
      </c>
      <c r="D76" s="28"/>
      <c r="E76" s="28"/>
      <c r="F76" s="28"/>
      <c r="G76" s="28"/>
      <c r="H76" s="144"/>
      <c r="I76" s="120"/>
      <c r="J76" s="5"/>
    </row>
    <row r="77" spans="1:9" ht="15">
      <c r="A77" s="20"/>
      <c r="B77" s="28"/>
      <c r="C77" s="28" t="s">
        <v>217</v>
      </c>
      <c r="D77" s="28"/>
      <c r="E77" s="28"/>
      <c r="F77" s="28"/>
      <c r="G77" s="28"/>
      <c r="H77" s="179" t="e">
        <f>+Refernce!E58</f>
        <v>#NUM!</v>
      </c>
      <c r="I77" s="143"/>
    </row>
    <row r="78" spans="1:8" ht="15">
      <c r="A78" s="20"/>
      <c r="B78" s="28"/>
      <c r="C78" s="28" t="s">
        <v>15</v>
      </c>
      <c r="D78" s="28"/>
      <c r="E78" s="28"/>
      <c r="F78" s="28"/>
      <c r="G78" s="28"/>
      <c r="H78" s="36">
        <v>0</v>
      </c>
    </row>
    <row r="79" spans="1:10" ht="15">
      <c r="A79" s="20"/>
      <c r="B79" s="28"/>
      <c r="C79" s="28"/>
      <c r="D79" s="28"/>
      <c r="E79" s="28"/>
      <c r="F79" s="28"/>
      <c r="G79" s="28"/>
      <c r="H79" s="31"/>
      <c r="J79" s="226"/>
    </row>
    <row r="80" spans="1:11" ht="13.8" thickBot="1">
      <c r="A80" s="20"/>
      <c r="B80" s="27" t="s">
        <v>16</v>
      </c>
      <c r="C80" s="28"/>
      <c r="D80" s="28"/>
      <c r="E80" s="28"/>
      <c r="F80" s="28"/>
      <c r="G80" s="28"/>
      <c r="H80" s="33" t="e">
        <f>IF(H71&lt;0,0,H71+H73+H78+H77+H74+H75+H76)</f>
        <v>#NUM!</v>
      </c>
      <c r="I80" s="143"/>
      <c r="J80" s="5"/>
      <c r="K80" s="5"/>
    </row>
    <row r="81" spans="1:8" ht="13.8" thickTop="1">
      <c r="A81" s="20"/>
      <c r="B81" s="28"/>
      <c r="C81" s="28"/>
      <c r="D81" s="28"/>
      <c r="E81" s="28"/>
      <c r="F81" s="28"/>
      <c r="G81" s="28"/>
      <c r="H81" s="31"/>
    </row>
    <row r="82" spans="1:8" ht="15">
      <c r="A82" s="20"/>
      <c r="B82" s="5"/>
      <c r="C82" s="5"/>
      <c r="D82" s="5"/>
      <c r="E82" s="5"/>
      <c r="F82" s="5"/>
      <c r="G82" s="5"/>
      <c r="H82" s="5"/>
    </row>
    <row r="84" spans="10:12" ht="15">
      <c r="J84" s="227"/>
      <c r="L84" s="227"/>
    </row>
    <row r="85" ht="15">
      <c r="K85" s="227"/>
    </row>
    <row r="87" ht="15">
      <c r="J87" s="227"/>
    </row>
    <row r="88" ht="15">
      <c r="J88" s="227"/>
    </row>
  </sheetData>
  <mergeCells count="1">
    <mergeCell ref="J18:L18"/>
  </mergeCells>
  <printOptions/>
  <pageMargins left="0.5" right="0.5" top="0.5" bottom="0.55" header="0.5" footer="0.5"/>
  <pageSetup fitToHeight="1" fitToWidth="1" horizontalDpi="300" verticalDpi="300" orientation="portrait" paperSize="9" scale="75" r:id="rId2"/>
  <headerFooter alignWithMargins="0">
    <oddFooter>&amp;L&amp;D&amp;C&amp;Z&amp;F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36"/>
  <sheetViews>
    <sheetView workbookViewId="0" topLeftCell="A13">
      <selection activeCell="G30" sqref="G30"/>
    </sheetView>
  </sheetViews>
  <sheetFormatPr defaultColWidth="8.88671875" defaultRowHeight="15"/>
  <cols>
    <col min="1" max="1" width="1.5625" style="42" customWidth="1"/>
    <col min="2" max="2" width="22.21484375" style="42" customWidth="1"/>
    <col min="3" max="3" width="11.5546875" style="42" customWidth="1"/>
    <col min="4" max="4" width="1.1171875" style="42" customWidth="1"/>
    <col min="5" max="5" width="11.10546875" style="42" customWidth="1"/>
    <col min="6" max="6" width="1.33203125" style="42" customWidth="1"/>
    <col min="7" max="7" width="10.21484375" style="42" bestFit="1" customWidth="1"/>
    <col min="8" max="16384" width="8.88671875" style="42" customWidth="1"/>
  </cols>
  <sheetData>
    <row r="2" ht="15">
      <c r="B2" s="105">
        <f>+'TP Info'!C3</f>
        <v>0</v>
      </c>
    </row>
    <row r="3" ht="15">
      <c r="B3" s="107">
        <f>+'TP Info'!C4</f>
        <v>0</v>
      </c>
    </row>
    <row r="4" ht="15">
      <c r="B4" s="40" t="s">
        <v>241</v>
      </c>
    </row>
    <row r="5" ht="15">
      <c r="B5" s="40" t="s">
        <v>242</v>
      </c>
    </row>
    <row r="6" ht="15">
      <c r="B6" s="40" t="str">
        <f>+Taxcalc!B4</f>
        <v>FOR THE YEAR ENDED 28 February 2023</v>
      </c>
    </row>
    <row r="8" spans="2:5" ht="15">
      <c r="B8" s="185" t="s">
        <v>243</v>
      </c>
      <c r="C8" s="193">
        <v>0</v>
      </c>
      <c r="D8" s="6"/>
      <c r="E8" s="6"/>
    </row>
    <row r="9" spans="5:7" ht="15">
      <c r="E9" s="257" t="s">
        <v>248</v>
      </c>
      <c r="F9" s="258"/>
      <c r="G9" s="259"/>
    </row>
    <row r="10" spans="2:7" ht="15">
      <c r="B10" s="42" t="s">
        <v>247</v>
      </c>
      <c r="C10" s="188" t="s">
        <v>244</v>
      </c>
      <c r="E10" s="188" t="s">
        <v>245</v>
      </c>
      <c r="G10" s="188" t="s">
        <v>246</v>
      </c>
    </row>
    <row r="11" spans="2:7" ht="15">
      <c r="B11" s="186">
        <v>39356</v>
      </c>
      <c r="C11" s="190"/>
      <c r="D11" s="190"/>
      <c r="E11" s="190"/>
      <c r="F11" s="190"/>
      <c r="G11" s="191"/>
    </row>
    <row r="12" spans="2:7" ht="15">
      <c r="B12" s="186">
        <v>39508</v>
      </c>
      <c r="C12" s="190"/>
      <c r="D12" s="190"/>
      <c r="E12" s="190"/>
      <c r="F12" s="190"/>
      <c r="G12" s="191"/>
    </row>
    <row r="13" spans="2:8" ht="15">
      <c r="B13" s="186">
        <v>39873</v>
      </c>
      <c r="C13" s="190"/>
      <c r="D13" s="190"/>
      <c r="E13" s="191"/>
      <c r="F13" s="190"/>
      <c r="G13" s="191">
        <v>0</v>
      </c>
      <c r="H13" s="42" t="s">
        <v>257</v>
      </c>
    </row>
    <row r="14" spans="2:7" ht="15">
      <c r="B14" s="186">
        <v>40238</v>
      </c>
      <c r="C14" s="190"/>
      <c r="D14" s="190"/>
      <c r="E14" s="191"/>
      <c r="F14" s="190"/>
      <c r="G14" s="191"/>
    </row>
    <row r="15" spans="2:7" ht="15">
      <c r="B15" s="186">
        <v>40603</v>
      </c>
      <c r="C15" s="191"/>
      <c r="D15" s="190"/>
      <c r="E15" s="191"/>
      <c r="F15" s="190"/>
      <c r="G15" s="191"/>
    </row>
    <row r="16" spans="2:7" ht="15">
      <c r="B16" s="186">
        <v>40969</v>
      </c>
      <c r="C16" s="191"/>
      <c r="D16" s="190"/>
      <c r="E16" s="191"/>
      <c r="F16" s="190"/>
      <c r="G16" s="191"/>
    </row>
    <row r="17" spans="2:7" ht="15">
      <c r="B17" s="186">
        <v>41334</v>
      </c>
      <c r="C17" s="191"/>
      <c r="D17" s="190"/>
      <c r="E17" s="191"/>
      <c r="F17" s="190"/>
      <c r="G17" s="191"/>
    </row>
    <row r="18" spans="2:7" ht="15">
      <c r="B18" s="186">
        <v>41699</v>
      </c>
      <c r="C18" s="191"/>
      <c r="D18" s="190"/>
      <c r="E18" s="191"/>
      <c r="F18" s="190"/>
      <c r="G18" s="191">
        <v>0</v>
      </c>
    </row>
    <row r="19" spans="2:7" ht="15">
      <c r="B19" s="186">
        <v>42064</v>
      </c>
      <c r="C19" s="191"/>
      <c r="D19" s="190"/>
      <c r="E19" s="191"/>
      <c r="F19" s="190"/>
      <c r="G19" s="191"/>
    </row>
    <row r="20" spans="2:7" ht="15">
      <c r="B20" s="186">
        <v>42430</v>
      </c>
      <c r="C20" s="191"/>
      <c r="D20" s="190"/>
      <c r="E20" s="191"/>
      <c r="F20" s="190"/>
      <c r="G20" s="191"/>
    </row>
    <row r="21" spans="2:7" ht="15">
      <c r="B21" s="186">
        <v>42795</v>
      </c>
      <c r="C21" s="191"/>
      <c r="D21" s="190"/>
      <c r="E21" s="191"/>
      <c r="F21" s="190"/>
      <c r="G21" s="191"/>
    </row>
    <row r="22" spans="2:7" ht="15">
      <c r="B22" s="186">
        <v>43160</v>
      </c>
      <c r="C22" s="191"/>
      <c r="D22" s="190"/>
      <c r="E22" s="191"/>
      <c r="F22" s="190"/>
      <c r="G22" s="191"/>
    </row>
    <row r="23" spans="2:7" ht="15">
      <c r="B23" s="186">
        <v>43525</v>
      </c>
      <c r="C23" s="191"/>
      <c r="D23" s="190"/>
      <c r="E23" s="191"/>
      <c r="F23" s="190"/>
      <c r="G23" s="191"/>
    </row>
    <row r="24" spans="2:7" ht="15">
      <c r="B24" s="186">
        <v>43891</v>
      </c>
      <c r="C24" s="191"/>
      <c r="D24" s="190"/>
      <c r="E24" s="191"/>
      <c r="F24" s="190"/>
      <c r="G24" s="191"/>
    </row>
    <row r="25" spans="2:7" ht="15">
      <c r="B25" s="186">
        <v>44256</v>
      </c>
      <c r="C25" s="191"/>
      <c r="D25" s="190"/>
      <c r="E25" s="191"/>
      <c r="F25" s="190"/>
      <c r="G25" s="191"/>
    </row>
    <row r="26" spans="2:7" ht="15">
      <c r="B26" s="186">
        <v>44621</v>
      </c>
      <c r="C26" s="191"/>
      <c r="D26" s="190"/>
      <c r="E26" s="191"/>
      <c r="F26" s="190"/>
      <c r="G26" s="191"/>
    </row>
    <row r="27" spans="2:7" ht="15">
      <c r="B27" s="186">
        <v>44986</v>
      </c>
      <c r="C27" s="191"/>
      <c r="D27" s="190"/>
      <c r="E27" s="191"/>
      <c r="F27" s="190"/>
      <c r="G27" s="191"/>
    </row>
    <row r="29" spans="3:7" ht="16.2" thickBot="1">
      <c r="C29" s="192">
        <f>SUM(C15:C28)</f>
        <v>0</v>
      </c>
      <c r="D29" s="190"/>
      <c r="E29" s="192">
        <f>SUM(E13:E28)</f>
        <v>0</v>
      </c>
      <c r="F29" s="190"/>
      <c r="G29" s="192">
        <f>SUM(G11:G28)</f>
        <v>0</v>
      </c>
    </row>
    <row r="30" ht="16.2" thickTop="1"/>
    <row r="31" spans="2:3" ht="15">
      <c r="B31" s="42" t="s">
        <v>249</v>
      </c>
      <c r="C31" s="189">
        <f>+C8+SUM(C29:G29)</f>
        <v>0</v>
      </c>
    </row>
    <row r="32" spans="2:3" ht="15">
      <c r="B32" s="42" t="s">
        <v>250</v>
      </c>
      <c r="C32" s="6">
        <f>HLOOKUP(C31,Refernce!I15:M17,2)+((+C31-HLOOKUP(+C31,Refernce!I15:M17,1))*(HLOOKUP(+C31,Refernce!I15:M17,3)))</f>
        <v>0</v>
      </c>
    </row>
    <row r="33" spans="2:3" ht="15">
      <c r="B33" s="42" t="s">
        <v>252</v>
      </c>
      <c r="C33" s="189">
        <f>+C31-C8</f>
        <v>0</v>
      </c>
    </row>
    <row r="34" spans="2:3" ht="15">
      <c r="B34" s="42" t="s">
        <v>253</v>
      </c>
      <c r="C34" s="6">
        <f>HLOOKUP(C33,Refernce!I15:M17,2)+((+C33-HLOOKUP(+C33,Refernce!I15:M17,1))*(HLOOKUP(+C33,Refernce!I15:M17,3)))</f>
        <v>0</v>
      </c>
    </row>
    <row r="36" spans="2:7" ht="16.2" thickBot="1">
      <c r="B36" s="42" t="s">
        <v>254</v>
      </c>
      <c r="C36" s="194">
        <f>+C32-C34</f>
        <v>0</v>
      </c>
      <c r="E36" s="42">
        <f>+Taxcalc!I74</f>
        <v>0</v>
      </c>
      <c r="G36" s="106">
        <f>+C36-E36</f>
        <v>0</v>
      </c>
    </row>
    <row r="37" ht="16.2" thickTop="1"/>
  </sheetData>
  <mergeCells count="1">
    <mergeCell ref="E9:G9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eff29c-c9d9-404e-a1e1-ba4e0999526a">
      <Terms xmlns="http://schemas.microsoft.com/office/infopath/2007/PartnerControls"/>
    </lcf76f155ced4ddcb4097134ff3c332f>
    <TaxCatchAll xmlns="871bb92d-132a-4608-91d6-e0d57608237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88AA4688160D4483CE10C533FDE510" ma:contentTypeVersion="16" ma:contentTypeDescription="Create a new document." ma:contentTypeScope="" ma:versionID="5c39048b0cec30744676738ee5faceee">
  <xsd:schema xmlns:xsd="http://www.w3.org/2001/XMLSchema" xmlns:xs="http://www.w3.org/2001/XMLSchema" xmlns:p="http://schemas.microsoft.com/office/2006/metadata/properties" xmlns:ns2="75eff29c-c9d9-404e-a1e1-ba4e0999526a" xmlns:ns3="871bb92d-132a-4608-91d6-e0d57608237c" targetNamespace="http://schemas.microsoft.com/office/2006/metadata/properties" ma:root="true" ma:fieldsID="2cef0331d5c10bd7bb6afc056a397468" ns2:_="" ns3:_="">
    <xsd:import namespace="75eff29c-c9d9-404e-a1e1-ba4e0999526a"/>
    <xsd:import namespace="871bb92d-132a-4608-91d6-e0d5760823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ff29c-c9d9-404e-a1e1-ba4e099952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d4bb475-f2b9-4f53-a773-af0b10f6a6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1bb92d-132a-4608-91d6-e0d57608237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e6c9f9-42f5-4c78-b803-8893d75b3a03}" ma:internalName="TaxCatchAll" ma:showField="CatchAllData" ma:web="871bb92d-132a-4608-91d6-e0d5760823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B9BCFF-F3B1-4CFB-8586-3C00216E66C2}">
  <ds:schemaRefs>
    <ds:schemaRef ds:uri="http://purl.org/dc/dcmitype/"/>
    <ds:schemaRef ds:uri="http://schemas.openxmlformats.org/package/2006/metadata/core-properties"/>
    <ds:schemaRef ds:uri="871bb92d-132a-4608-91d6-e0d57608237c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75eff29c-c9d9-404e-a1e1-ba4e0999526a"/>
  </ds:schemaRefs>
</ds:datastoreItem>
</file>

<file path=customXml/itemProps2.xml><?xml version="1.0" encoding="utf-8"?>
<ds:datastoreItem xmlns:ds="http://schemas.openxmlformats.org/officeDocument/2006/customXml" ds:itemID="{D1BAD937-D303-4145-9289-9ED1B3E009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8918EC-FC88-4A1A-9413-981E64021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eff29c-c9d9-404e-a1e1-ba4e0999526a"/>
    <ds:schemaRef ds:uri="871bb92d-132a-4608-91d6-e0d5760823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&amp; H Tax &amp;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Carlisle</dc:creator>
  <cp:keywords/>
  <dc:description/>
  <cp:lastModifiedBy>Peter</cp:lastModifiedBy>
  <cp:lastPrinted>2021-06-03T06:46:40Z</cp:lastPrinted>
  <dcterms:created xsi:type="dcterms:W3CDTF">1997-07-09T12:11:29Z</dcterms:created>
  <dcterms:modified xsi:type="dcterms:W3CDTF">2023-07-06T16:30:38Z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0x010100E788AA4688160D4483CE10C533FDE510</vt:lpwstr>
  </property>
  <property fmtid="{D5CDD505-2E9C-101B-9397-08002B2CF9AE}" pid="3" name="MediaServiceImageTags">
    <vt:lpwstr/>
  </property>
</Properties>
</file>